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470" firstSheet="28" activeTab="29"/>
  </bookViews>
  <sheets>
    <sheet name="Realization of Outlay 11th Plan" sheetId="34" r:id="rId1"/>
    <sheet name="Outlay % GSDP" sheetId="35" r:id="rId2"/>
    <sheet name="Aggregate Resources" sheetId="22" r:id="rId3"/>
    <sheet name="Aggregate As% of GSDP" sheetId="27" r:id="rId4"/>
    <sheet name="BCR" sheetId="23" r:id="rId5"/>
    <sheet name="BCR As %age of GSDP" sheetId="28" r:id="rId6"/>
    <sheet name="SOR" sheetId="24" r:id="rId7"/>
    <sheet name="SOR As%age of GSDP" sheetId="29" r:id="rId8"/>
    <sheet name="Borrowings" sheetId="25" r:id="rId9"/>
    <sheet name="Borrowings As %age of GSDP" sheetId="30" r:id="rId10"/>
    <sheet name="Central Assistance" sheetId="26" r:id="rId11"/>
    <sheet name="Central Asistant As&amp;age of GSDP" sheetId="31" r:id="rId12"/>
    <sheet name="PSEs" sheetId="32" r:id="rId13"/>
    <sheet name="Transfer to States" sheetId="33" r:id="rId14"/>
    <sheet name="SOTR (%GSDP)" sheetId="20" r:id="rId15"/>
    <sheet name="State Own Tax Revenues" sheetId="1" r:id="rId16"/>
    <sheet name="IP as % of TRR" sheetId="2" r:id="rId17"/>
    <sheet name="Revenue Deficit (%GSDP)" sheetId="3" r:id="rId18"/>
    <sheet name="Fiscal Deficit (%GSDP)" sheetId="4" r:id="rId19"/>
    <sheet name="Outstanding liabilities " sheetId="5" r:id="rId20"/>
    <sheet name="Salaries (% Plan Expenditure)" sheetId="6" r:id="rId21"/>
    <sheet name="Salaries (% Revenue Exp)" sheetId="8" r:id="rId22"/>
    <sheet name="Salaries (% Total Expenditure)" sheetId="7" r:id="rId23"/>
    <sheet name="Public Exp Ratio" sheetId="9" r:id="rId24"/>
    <sheet name="Social Allocation Ratio" sheetId="10" r:id="rId25"/>
    <sheet name="Plan Exp(%GSDP)" sheetId="11" r:id="rId26"/>
    <sheet name="Per Capita Plan Expenditure" sheetId="12" r:id="rId27"/>
    <sheet name="NON Plan Exp(%GSDP)" sheetId="13" r:id="rId28"/>
    <sheet name="Non Plan Exp Per Cap &amp; GSDP" sheetId="14" r:id="rId29"/>
    <sheet name="Per Capita Total Expenditure" sheetId="15" r:id="rId30"/>
    <sheet name="Per Capita GSDP " sheetId="18" r:id="rId31"/>
    <sheet name="Committed Exp Per Capita" sheetId="17" r:id="rId32"/>
    <sheet name="Worksheet Pension &amp; RE" sheetId="19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aca" localSheetId="3">#REF!</definedName>
    <definedName name="aca" localSheetId="5">#REF!</definedName>
    <definedName name="aca" localSheetId="9">#REF!</definedName>
    <definedName name="aca" localSheetId="11">#REF!</definedName>
    <definedName name="aca" localSheetId="12">#REF!</definedName>
    <definedName name="aca" localSheetId="7">#REF!</definedName>
    <definedName name="aca">#REF!</definedName>
    <definedName name="aruaca" localSheetId="3">#REF!</definedName>
    <definedName name="aruaca" localSheetId="5">#REF!</definedName>
    <definedName name="aruaca" localSheetId="9">#REF!</definedName>
    <definedName name="aruaca" localSheetId="11">#REF!</definedName>
    <definedName name="aruaca" localSheetId="12">#REF!</definedName>
    <definedName name="aruaca" localSheetId="7">#REF!</definedName>
    <definedName name="aruaca">#REF!</definedName>
    <definedName name="bbbcr">'[1]BCR-Annex3'!$A$2:$J$31</definedName>
    <definedName name="BBCR">'[2]BCR-Annex3'!$A$2:$J$30</definedName>
    <definedName name="BCR" localSheetId="3">#REF!</definedName>
    <definedName name="BCR" localSheetId="5">#REF!</definedName>
    <definedName name="BCR" localSheetId="9">#REF!</definedName>
    <definedName name="BCR" localSheetId="11">#REF!</definedName>
    <definedName name="BCR" localSheetId="12">#REF!</definedName>
    <definedName name="BCR" localSheetId="7">#REF!</definedName>
    <definedName name="BCR">#REF!</definedName>
    <definedName name="Brief" localSheetId="3">#REF!</definedName>
    <definedName name="Brief" localSheetId="5">#REF!</definedName>
    <definedName name="Brief" localSheetId="9">#REF!</definedName>
    <definedName name="Brief" localSheetId="11">#REF!</definedName>
    <definedName name="Brief" localSheetId="12">#REF!</definedName>
    <definedName name="Brief" localSheetId="7">#REF!</definedName>
    <definedName name="Brief">#REF!</definedName>
    <definedName name="dada" localSheetId="3">[3]Brief!#REF!</definedName>
    <definedName name="dada" localSheetId="5">[3]Brief!#REF!</definedName>
    <definedName name="dada" localSheetId="9">[3]Brief!#REF!</definedName>
    <definedName name="dada" localSheetId="11">[3]Brief!#REF!</definedName>
    <definedName name="dada" localSheetId="12">[3]Brief!#REF!</definedName>
    <definedName name="dada" localSheetId="7">[3]Brief!#REF!</definedName>
    <definedName name="dada">[3]Brief!#REF!</definedName>
    <definedName name="data" localSheetId="3">#REF!</definedName>
    <definedName name="data" localSheetId="5">#REF!</definedName>
    <definedName name="data" localSheetId="9">#REF!</definedName>
    <definedName name="data" localSheetId="11">#REF!</definedName>
    <definedName name="data" localSheetId="12">#REF!</definedName>
    <definedName name="data" localSheetId="7">#REF!</definedName>
    <definedName name="data">#REF!</definedName>
    <definedName name="data2" localSheetId="3">[1]Brief!#REF!</definedName>
    <definedName name="data2" localSheetId="5">[1]Brief!#REF!</definedName>
    <definedName name="data2" localSheetId="9">[1]Brief!#REF!</definedName>
    <definedName name="data2" localSheetId="11">[1]Brief!#REF!</definedName>
    <definedName name="data2" localSheetId="12">[1]Brief!#REF!</definedName>
    <definedName name="data2" localSheetId="7">[1]Brief!#REF!</definedName>
    <definedName name="data2">[1]Brief!#REF!</definedName>
    <definedName name="_xlnm.Extract" localSheetId="3">[4]FORM5!#REF!</definedName>
    <definedName name="_xlnm.Extract" localSheetId="5">[4]FORM5!#REF!</definedName>
    <definedName name="_xlnm.Extract" localSheetId="9">[4]FORM5!#REF!</definedName>
    <definedName name="_xlnm.Extract" localSheetId="11">[4]FORM5!#REF!</definedName>
    <definedName name="_xlnm.Extract" localSheetId="12">[4]FORM5!#REF!</definedName>
    <definedName name="_xlnm.Extract" localSheetId="7">[4]FORM5!#REF!</definedName>
    <definedName name="_xlnm.Extract">[4]FORM5!#REF!</definedName>
    <definedName name="facts" localSheetId="3">#REF!</definedName>
    <definedName name="facts" localSheetId="5">#REF!</definedName>
    <definedName name="facts" localSheetId="9">#REF!</definedName>
    <definedName name="facts" localSheetId="11">#REF!</definedName>
    <definedName name="facts" localSheetId="12">#REF!</definedName>
    <definedName name="facts" localSheetId="7">#REF!</definedName>
    <definedName name="facts">#REF!</definedName>
    <definedName name="Form1" localSheetId="3">#REF!</definedName>
    <definedName name="Form1" localSheetId="5">#REF!</definedName>
    <definedName name="Form1" localSheetId="9">#REF!</definedName>
    <definedName name="Form1" localSheetId="11">#REF!</definedName>
    <definedName name="Form1" localSheetId="12">#REF!</definedName>
    <definedName name="Form1" localSheetId="7">#REF!</definedName>
    <definedName name="Form1">#REF!</definedName>
    <definedName name="FormIA" localSheetId="3">#REF!</definedName>
    <definedName name="FormIA" localSheetId="5">#REF!</definedName>
    <definedName name="FormIA" localSheetId="9">#REF!</definedName>
    <definedName name="FormIA" localSheetId="11">#REF!</definedName>
    <definedName name="FormIA" localSheetId="12">#REF!</definedName>
    <definedName name="FormIA" localSheetId="7">#REF!</definedName>
    <definedName name="FormIA">#REF!</definedName>
    <definedName name="PChange" localSheetId="3">#REF!</definedName>
    <definedName name="PChange" localSheetId="5">#REF!</definedName>
    <definedName name="PChange" localSheetId="9">#REF!</definedName>
    <definedName name="PChange" localSheetId="11">#REF!</definedName>
    <definedName name="PChange" localSheetId="12">#REF!</definedName>
    <definedName name="PChange" localSheetId="7">#REF!</definedName>
    <definedName name="PChange">#REF!</definedName>
    <definedName name="_xlnm.Print_Area" localSheetId="3">'Aggregate As% of GSDP'!$A$1:$S$43</definedName>
    <definedName name="_xlnm.Print_Area" localSheetId="2">'Aggregate Resources'!$A$1:$P$45</definedName>
    <definedName name="_xlnm.Print_Area" localSheetId="4">BCR!$A$1:$N$45</definedName>
    <definedName name="_xlnm.Print_Area" localSheetId="5">'BCR As %age of GSDP'!$A$1:$N$45</definedName>
    <definedName name="_xlnm.Print_Area" localSheetId="8">Borrowings!$A$1:$N$45</definedName>
    <definedName name="_xlnm.Print_Area" localSheetId="9">'Borrowings As %age of GSDP'!$A$1:$N$45</definedName>
    <definedName name="_xlnm.Print_Area" localSheetId="11">'Central Asistant As&amp;age of GSDP'!$A$1:$N$45</definedName>
    <definedName name="_xlnm.Print_Area" localSheetId="10">'Central Assistance'!$A$1:$N$45</definedName>
    <definedName name="_xlnm.Print_Area" localSheetId="31">'Committed Exp Per Capita'!$A$1:$Q$43</definedName>
    <definedName name="_xlnm.Print_Area" localSheetId="18">'Fiscal Deficit (%GSDP)'!$A$1:$Q$43</definedName>
    <definedName name="_xlnm.Print_Area" localSheetId="16">'IP as % of TRR'!$A$1:$Q$43</definedName>
    <definedName name="_xlnm.Print_Area" localSheetId="27">'NON Plan Exp(%GSDP)'!$A$1:$Q$43</definedName>
    <definedName name="_xlnm.Print_Area" localSheetId="1">'Outlay % GSDP'!$A$1:$R$45</definedName>
    <definedName name="_xlnm.Print_Area" localSheetId="19">'Outstanding liabilities '!$A$1:$Q$43</definedName>
    <definedName name="_xlnm.Print_Area" localSheetId="30">'Per Capita GSDP '!$A$1:$Q$44</definedName>
    <definedName name="_xlnm.Print_Area" localSheetId="26">'Per Capita Plan Expenditure'!$A$1:$Q$43</definedName>
    <definedName name="_xlnm.Print_Area" localSheetId="29">'Per Capita Total Expenditure'!$A$1:$Q$43</definedName>
    <definedName name="_xlnm.Print_Area" localSheetId="25">'Plan Exp(%GSDP)'!$A$1:$Q$43</definedName>
    <definedName name="_xlnm.Print_Area" localSheetId="12">PSEs!$A$1:$N$45</definedName>
    <definedName name="_xlnm.Print_Area" localSheetId="23">'Public Exp Ratio'!$A$1:$Q$43</definedName>
    <definedName name="_xlnm.Print_Area" localSheetId="0">'Realization of Outlay 11th Plan'!$A$1:$R$52</definedName>
    <definedName name="_xlnm.Print_Area" localSheetId="17">'Revenue Deficit (%GSDP)'!$A$1:$Q$43</definedName>
    <definedName name="_xlnm.Print_Area" localSheetId="20">'Salaries (% Plan Expenditure)'!$A$1:$Q$43</definedName>
    <definedName name="_xlnm.Print_Area" localSheetId="24">'Social Allocation Ratio'!$A$1:$Q$43</definedName>
    <definedName name="_xlnm.Print_Area" localSheetId="6">SOR!$A$1:$N$45</definedName>
    <definedName name="_xlnm.Print_Area" localSheetId="7">'SOR As%age of GSDP'!$A$1:$N$45</definedName>
    <definedName name="_xlnm.Print_Area" localSheetId="14">'SOTR (%GSDP)'!$A$1:$Q$43</definedName>
    <definedName name="_xlnm.Print_Area" localSheetId="15">'State Own Tax Revenues'!$A$1:$Q$43</definedName>
    <definedName name="_xlnm.Print_Area" localSheetId="13">'Transfer to States'!$A$2:$I$38</definedName>
    <definedName name="_xlnm.Print_Area" localSheetId="32">'Worksheet Pension &amp; RE'!$A$1:$I$44</definedName>
    <definedName name="_xlnm.Print_Area">#REF!</definedName>
    <definedName name="PRINT_AREA_MI" localSheetId="3">#REF!</definedName>
    <definedName name="PRINT_AREA_MI" localSheetId="2">#REF!</definedName>
    <definedName name="PRINT_AREA_MI" localSheetId="4">#REF!</definedName>
    <definedName name="PRINT_AREA_MI" localSheetId="5">#REF!</definedName>
    <definedName name="PRINT_AREA_MI" localSheetId="8">#REF!</definedName>
    <definedName name="PRINT_AREA_MI" localSheetId="9">#REF!</definedName>
    <definedName name="PRINT_AREA_MI" localSheetId="11">#REF!</definedName>
    <definedName name="PRINT_AREA_MI" localSheetId="10">#REF!</definedName>
    <definedName name="PRINT_AREA_MI" localSheetId="12">#REF!</definedName>
    <definedName name="PRINT_AREA_MI" localSheetId="6">#REF!</definedName>
    <definedName name="PRINT_AREA_MI" localSheetId="7">#REF!</definedName>
    <definedName name="PRINT_AREA_MI" localSheetId="14">#REF!</definedName>
    <definedName name="PRINT_AREA_MI" localSheetId="13">#REF!</definedName>
    <definedName name="PRINT_AREA_MI" localSheetId="32">#REF!</definedName>
    <definedName name="PRINT_AREA_MI">#REF!</definedName>
    <definedName name="_xlnm.Print_Titles" localSheetId="13">'Transfer to States'!#REF!</definedName>
    <definedName name="SOF" localSheetId="3">#REF!</definedName>
    <definedName name="SOF" localSheetId="5">#REF!</definedName>
    <definedName name="SOF" localSheetId="9">#REF!</definedName>
    <definedName name="SOF" localSheetId="11">#REF!</definedName>
    <definedName name="SOF" localSheetId="12">#REF!</definedName>
    <definedName name="SOF" localSheetId="7">#REF!</definedName>
    <definedName name="SOF">#REF!</definedName>
  </definedNames>
  <calcPr calcId="114210"/>
</workbook>
</file>

<file path=xl/calcChain.xml><?xml version="1.0" encoding="utf-8"?>
<calcChain xmlns="http://schemas.openxmlformats.org/spreadsheetml/2006/main">
  <c r="H39" i="8"/>
  <c r="I39"/>
  <c r="J39"/>
  <c r="K39"/>
  <c r="L39"/>
  <c r="I38"/>
  <c r="J38"/>
  <c r="K38"/>
  <c r="L38"/>
  <c r="H38"/>
  <c r="H34"/>
  <c r="I34"/>
  <c r="J34"/>
  <c r="K34"/>
  <c r="L34"/>
  <c r="H35"/>
  <c r="I35"/>
  <c r="J35"/>
  <c r="K35"/>
  <c r="L35"/>
  <c r="H27"/>
  <c r="I27"/>
  <c r="J27"/>
  <c r="K27"/>
  <c r="L27"/>
  <c r="H28"/>
  <c r="I28"/>
  <c r="J28"/>
  <c r="K28"/>
  <c r="L28"/>
  <c r="H29"/>
  <c r="I29"/>
  <c r="J29"/>
  <c r="K29"/>
  <c r="L29"/>
  <c r="H30"/>
  <c r="I30"/>
  <c r="J30"/>
  <c r="K30"/>
  <c r="L30"/>
  <c r="H31"/>
  <c r="I31"/>
  <c r="J31"/>
  <c r="K31"/>
  <c r="L31"/>
  <c r="H32"/>
  <c r="I32"/>
  <c r="J32"/>
  <c r="K32"/>
  <c r="L32"/>
  <c r="H33"/>
  <c r="I33"/>
  <c r="J33"/>
  <c r="K33"/>
  <c r="L33"/>
  <c r="H20"/>
  <c r="I20"/>
  <c r="J20"/>
  <c r="K20"/>
  <c r="L20"/>
  <c r="H21"/>
  <c r="I21"/>
  <c r="J21"/>
  <c r="K21"/>
  <c r="L21"/>
  <c r="H22"/>
  <c r="I22"/>
  <c r="J22"/>
  <c r="K22"/>
  <c r="L22"/>
  <c r="H23"/>
  <c r="I23"/>
  <c r="J23"/>
  <c r="K23"/>
  <c r="L23"/>
  <c r="H24"/>
  <c r="I24"/>
  <c r="J24"/>
  <c r="K24"/>
  <c r="L24"/>
  <c r="H25"/>
  <c r="I25"/>
  <c r="J25"/>
  <c r="K25"/>
  <c r="L25"/>
  <c r="H26"/>
  <c r="I26"/>
  <c r="J26"/>
  <c r="K26"/>
  <c r="L26"/>
  <c r="I19"/>
  <c r="J19"/>
  <c r="K19"/>
  <c r="L19"/>
  <c r="H19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16"/>
  <c r="I16"/>
  <c r="J16"/>
  <c r="K16"/>
  <c r="L16"/>
  <c r="H8"/>
  <c r="I8"/>
  <c r="J8"/>
  <c r="K8"/>
  <c r="L8"/>
  <c r="H9"/>
  <c r="I9"/>
  <c r="J9"/>
  <c r="K9"/>
  <c r="L9"/>
  <c r="H10"/>
  <c r="I10"/>
  <c r="J10"/>
  <c r="K10"/>
  <c r="L10"/>
  <c r="H11"/>
  <c r="I11"/>
  <c r="J11"/>
  <c r="K11"/>
  <c r="L11"/>
  <c r="H7"/>
  <c r="I7"/>
  <c r="J7"/>
  <c r="K7"/>
  <c r="L7"/>
  <c r="I6"/>
  <c r="J6"/>
  <c r="K6"/>
  <c r="L6"/>
  <c r="H6"/>
  <c r="C39" i="17"/>
  <c r="D39"/>
  <c r="E39"/>
  <c r="F39"/>
  <c r="G39"/>
  <c r="D38"/>
  <c r="E38"/>
  <c r="F38"/>
  <c r="G38"/>
  <c r="C38"/>
  <c r="C33"/>
  <c r="D33"/>
  <c r="E33"/>
  <c r="F33"/>
  <c r="G33"/>
  <c r="C34"/>
  <c r="D34"/>
  <c r="E34"/>
  <c r="F34"/>
  <c r="G34"/>
  <c r="C35"/>
  <c r="D35"/>
  <c r="E35"/>
  <c r="F35"/>
  <c r="G35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0"/>
  <c r="D20"/>
  <c r="E20"/>
  <c r="F20"/>
  <c r="G20"/>
  <c r="C21"/>
  <c r="D21"/>
  <c r="E21"/>
  <c r="F21"/>
  <c r="G21"/>
  <c r="C22"/>
  <c r="D22"/>
  <c r="E22"/>
  <c r="F22"/>
  <c r="G22"/>
  <c r="D19"/>
  <c r="E19"/>
  <c r="F19"/>
  <c r="G19"/>
  <c r="C1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7"/>
  <c r="D7"/>
  <c r="E7"/>
  <c r="F7"/>
  <c r="G7"/>
  <c r="C8"/>
  <c r="D8"/>
  <c r="E8"/>
  <c r="F8"/>
  <c r="G8"/>
  <c r="C9"/>
  <c r="D9"/>
  <c r="E9"/>
  <c r="F9"/>
  <c r="G9"/>
  <c r="D6"/>
  <c r="E6"/>
  <c r="F6"/>
  <c r="G6"/>
  <c r="C6"/>
  <c r="H40" i="19"/>
  <c r="I40"/>
  <c r="J40"/>
  <c r="K40"/>
  <c r="L40"/>
  <c r="H42"/>
  <c r="I42"/>
  <c r="J42"/>
  <c r="K42"/>
  <c r="L42"/>
  <c r="H36"/>
  <c r="I36"/>
  <c r="J36"/>
  <c r="K36"/>
  <c r="L36"/>
  <c r="H17"/>
  <c r="I17"/>
  <c r="J17"/>
  <c r="K17"/>
  <c r="L17"/>
  <c r="C39" i="11"/>
  <c r="D39"/>
  <c r="E39"/>
  <c r="F39"/>
  <c r="G39"/>
  <c r="D38"/>
  <c r="E38"/>
  <c r="F38"/>
  <c r="G38"/>
  <c r="C38"/>
  <c r="C35"/>
  <c r="D35"/>
  <c r="E35"/>
  <c r="F35"/>
  <c r="G35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D19"/>
  <c r="E19"/>
  <c r="F19"/>
  <c r="G19"/>
  <c r="C19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D6"/>
  <c r="E6"/>
  <c r="F6"/>
  <c r="G6"/>
  <c r="C6"/>
  <c r="I38" i="9"/>
  <c r="J38"/>
  <c r="K38"/>
  <c r="L38"/>
  <c r="I39"/>
  <c r="J39"/>
  <c r="K39"/>
  <c r="L39"/>
  <c r="H39"/>
  <c r="H38"/>
  <c r="H30"/>
  <c r="I30"/>
  <c r="J30"/>
  <c r="K30"/>
  <c r="L30"/>
  <c r="H31"/>
  <c r="I31"/>
  <c r="J31"/>
  <c r="K31"/>
  <c r="L31"/>
  <c r="H32"/>
  <c r="I32"/>
  <c r="J32"/>
  <c r="K32"/>
  <c r="L32"/>
  <c r="H33"/>
  <c r="I33"/>
  <c r="J33"/>
  <c r="K33"/>
  <c r="L33"/>
  <c r="H34"/>
  <c r="I34"/>
  <c r="J34"/>
  <c r="K34"/>
  <c r="L34"/>
  <c r="H35"/>
  <c r="I35"/>
  <c r="J35"/>
  <c r="K35"/>
  <c r="L35"/>
  <c r="H20"/>
  <c r="I20"/>
  <c r="J20"/>
  <c r="K20"/>
  <c r="L20"/>
  <c r="H21"/>
  <c r="I21"/>
  <c r="J21"/>
  <c r="K21"/>
  <c r="L21"/>
  <c r="H22"/>
  <c r="I22"/>
  <c r="J22"/>
  <c r="K22"/>
  <c r="L22"/>
  <c r="H23"/>
  <c r="I23"/>
  <c r="J23"/>
  <c r="K23"/>
  <c r="L23"/>
  <c r="H24"/>
  <c r="I24"/>
  <c r="J24"/>
  <c r="K24"/>
  <c r="L24"/>
  <c r="H25"/>
  <c r="I25"/>
  <c r="J25"/>
  <c r="K25"/>
  <c r="L25"/>
  <c r="H26"/>
  <c r="I26"/>
  <c r="J26"/>
  <c r="K26"/>
  <c r="L26"/>
  <c r="H27"/>
  <c r="I27"/>
  <c r="J27"/>
  <c r="K27"/>
  <c r="L27"/>
  <c r="H28"/>
  <c r="I28"/>
  <c r="J28"/>
  <c r="K28"/>
  <c r="L28"/>
  <c r="H29"/>
  <c r="I29"/>
  <c r="J29"/>
  <c r="K29"/>
  <c r="L29"/>
  <c r="J19"/>
  <c r="K19"/>
  <c r="L19"/>
  <c r="I19"/>
  <c r="H19"/>
  <c r="H7"/>
  <c r="I7"/>
  <c r="J7"/>
  <c r="K7"/>
  <c r="L7"/>
  <c r="H8"/>
  <c r="I8"/>
  <c r="J8"/>
  <c r="K8"/>
  <c r="L8"/>
  <c r="H9"/>
  <c r="I9"/>
  <c r="J9"/>
  <c r="K9"/>
  <c r="L9"/>
  <c r="H10"/>
  <c r="I10"/>
  <c r="J10"/>
  <c r="K10"/>
  <c r="L10"/>
  <c r="H11"/>
  <c r="I11"/>
  <c r="J11"/>
  <c r="K11"/>
  <c r="L11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16"/>
  <c r="I16"/>
  <c r="J16"/>
  <c r="K16"/>
  <c r="L16"/>
  <c r="I6"/>
  <c r="J6"/>
  <c r="K6"/>
  <c r="L6"/>
  <c r="H6"/>
  <c r="G8" i="6"/>
  <c r="F8"/>
  <c r="E8"/>
  <c r="D8"/>
  <c r="C8"/>
  <c r="C39" i="1"/>
  <c r="D39"/>
  <c r="E39"/>
  <c r="F39"/>
  <c r="G39"/>
  <c r="D38"/>
  <c r="E38"/>
  <c r="F38"/>
  <c r="G38"/>
  <c r="C38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D19"/>
  <c r="E19"/>
  <c r="F19"/>
  <c r="G19"/>
  <c r="C19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D6"/>
  <c r="E6"/>
  <c r="F6"/>
  <c r="G6"/>
  <c r="C6"/>
  <c r="J39" i="27"/>
  <c r="I38" i="3"/>
  <c r="I38" i="4"/>
  <c r="I38" i="5"/>
  <c r="I38" i="11"/>
  <c r="I38" i="13"/>
  <c r="K39" i="27"/>
  <c r="J38" i="3"/>
  <c r="J38" i="4"/>
  <c r="J38" i="5"/>
  <c r="J38" i="11"/>
  <c r="J38" i="13"/>
  <c r="L39" i="27"/>
  <c r="K38" i="3"/>
  <c r="K38" i="4"/>
  <c r="K38" i="5"/>
  <c r="K38" i="11"/>
  <c r="K38" i="13"/>
  <c r="M39" i="27"/>
  <c r="L38" i="3"/>
  <c r="L38" i="4"/>
  <c r="L38" i="5"/>
  <c r="L38" i="11"/>
  <c r="L38" i="13"/>
  <c r="J40" i="27"/>
  <c r="I39" i="3"/>
  <c r="I39" i="4"/>
  <c r="I39" i="5"/>
  <c r="I39" i="11"/>
  <c r="I39" i="13"/>
  <c r="K40" i="27"/>
  <c r="J39" i="3"/>
  <c r="J39" i="4"/>
  <c r="J39" i="5"/>
  <c r="J39" i="11"/>
  <c r="J39" i="13"/>
  <c r="L40" i="27"/>
  <c r="K39" i="3"/>
  <c r="K39" i="4"/>
  <c r="K39" i="5"/>
  <c r="K39" i="11"/>
  <c r="K39" i="13"/>
  <c r="M40" i="27"/>
  <c r="L39" i="3"/>
  <c r="L39" i="4"/>
  <c r="L39" i="5"/>
  <c r="L39" i="11"/>
  <c r="L39" i="13"/>
  <c r="I40" i="27"/>
  <c r="H39" i="3"/>
  <c r="H39" i="4"/>
  <c r="H39" i="5"/>
  <c r="H39" i="11"/>
  <c r="H39" i="13"/>
  <c r="I39" i="27"/>
  <c r="H38" i="3"/>
  <c r="H38" i="4"/>
  <c r="H38" i="5"/>
  <c r="H38" i="11"/>
  <c r="H38" i="13"/>
  <c r="I27" i="27"/>
  <c r="H27" i="3"/>
  <c r="H27" i="4"/>
  <c r="H27" i="5"/>
  <c r="H27" i="11"/>
  <c r="H27" i="13"/>
  <c r="J27" i="27"/>
  <c r="I27" i="3"/>
  <c r="I27" i="4"/>
  <c r="I27" i="5"/>
  <c r="I27" i="11"/>
  <c r="I27" i="13"/>
  <c r="K27" i="27"/>
  <c r="J27" i="3"/>
  <c r="J27" i="4"/>
  <c r="J27" i="5"/>
  <c r="J27" i="11"/>
  <c r="J27" i="13"/>
  <c r="L27" i="27"/>
  <c r="K27" i="3"/>
  <c r="K27" i="4"/>
  <c r="K27" i="5"/>
  <c r="K27" i="11"/>
  <c r="K27" i="13"/>
  <c r="M27" i="27"/>
  <c r="L27" i="3"/>
  <c r="L27" i="4"/>
  <c r="L27" i="5"/>
  <c r="L27" i="11"/>
  <c r="L27" i="13"/>
  <c r="I28" i="27"/>
  <c r="H28" i="3"/>
  <c r="H28" i="4"/>
  <c r="H28" i="5"/>
  <c r="H28" i="11"/>
  <c r="H28" i="13"/>
  <c r="J28" i="27"/>
  <c r="I28" i="3"/>
  <c r="I28" i="4"/>
  <c r="I28" i="5"/>
  <c r="I28" i="11"/>
  <c r="I28" i="13"/>
  <c r="K28" i="27"/>
  <c r="J28" i="3"/>
  <c r="J28" i="4"/>
  <c r="J28" i="5"/>
  <c r="J28" i="11"/>
  <c r="J28" i="13"/>
  <c r="L28" i="27"/>
  <c r="K28" i="3"/>
  <c r="K28" i="4"/>
  <c r="K28" i="5"/>
  <c r="K28" i="11"/>
  <c r="K28" i="13"/>
  <c r="M28" i="27"/>
  <c r="L28" i="3"/>
  <c r="L28" i="4"/>
  <c r="L28" i="5"/>
  <c r="L28" i="11"/>
  <c r="L28" i="13"/>
  <c r="I29" i="27"/>
  <c r="H29" i="3"/>
  <c r="H29" i="4"/>
  <c r="H29" i="5"/>
  <c r="H29" i="11"/>
  <c r="H29" i="13"/>
  <c r="J29" i="27"/>
  <c r="I29" i="3"/>
  <c r="I29" i="4"/>
  <c r="I29" i="5"/>
  <c r="I29" i="11"/>
  <c r="I29" i="13"/>
  <c r="K29" i="27"/>
  <c r="J29" i="3"/>
  <c r="J29" i="4"/>
  <c r="J29" i="5"/>
  <c r="J29" i="11"/>
  <c r="J29" i="13"/>
  <c r="L29" i="27"/>
  <c r="K29" i="3"/>
  <c r="K29" i="4"/>
  <c r="K29" i="5"/>
  <c r="K29" i="11"/>
  <c r="K29" i="13"/>
  <c r="M29" i="27"/>
  <c r="L29" i="3"/>
  <c r="L29" i="4"/>
  <c r="L29" i="5"/>
  <c r="L29" i="11"/>
  <c r="L29" i="13"/>
  <c r="I30" i="27"/>
  <c r="H30" i="3"/>
  <c r="H30" i="4"/>
  <c r="H30" i="5"/>
  <c r="H30" i="11"/>
  <c r="H30" i="13"/>
  <c r="J30" i="27"/>
  <c r="I30" i="3"/>
  <c r="I30" i="4"/>
  <c r="I30" i="5"/>
  <c r="I30" i="11"/>
  <c r="I30" i="13"/>
  <c r="K30" i="27"/>
  <c r="J30" i="3"/>
  <c r="J30" i="4"/>
  <c r="J30" i="5"/>
  <c r="J30" i="11"/>
  <c r="J30" i="13"/>
  <c r="L30" i="27"/>
  <c r="K30" i="3"/>
  <c r="K30" i="4"/>
  <c r="K30" i="5"/>
  <c r="K30" i="11"/>
  <c r="K30" i="13"/>
  <c r="M30" i="27"/>
  <c r="L30" i="3"/>
  <c r="L30" i="4"/>
  <c r="L30" i="5"/>
  <c r="L30" i="11"/>
  <c r="L30" i="13"/>
  <c r="I31" i="27"/>
  <c r="H31" i="3"/>
  <c r="H31" i="4"/>
  <c r="H31" i="5"/>
  <c r="H31" i="11"/>
  <c r="H31" i="13"/>
  <c r="J31" i="27"/>
  <c r="I31" i="3"/>
  <c r="I31" i="4"/>
  <c r="I31" i="5"/>
  <c r="I31" i="11"/>
  <c r="I31" i="13"/>
  <c r="K31" i="27"/>
  <c r="J31" i="3"/>
  <c r="J31" i="4"/>
  <c r="J31" i="5"/>
  <c r="J31" i="11"/>
  <c r="J31" i="13"/>
  <c r="L31" i="27"/>
  <c r="K31" i="3"/>
  <c r="K31" i="4"/>
  <c r="K31" i="5"/>
  <c r="K31" i="11"/>
  <c r="K31" i="13"/>
  <c r="M31" i="27"/>
  <c r="L31" i="3"/>
  <c r="L31" i="4"/>
  <c r="L31" i="5"/>
  <c r="L31" i="11"/>
  <c r="L31" i="13"/>
  <c r="I32" i="27"/>
  <c r="H32" i="3"/>
  <c r="H32" i="4"/>
  <c r="H32" i="5"/>
  <c r="H32" i="11"/>
  <c r="H32" i="13"/>
  <c r="J32" i="27"/>
  <c r="I32" i="3"/>
  <c r="I32" i="4"/>
  <c r="I32" i="5"/>
  <c r="I32" i="11"/>
  <c r="I32" i="13"/>
  <c r="K32" i="27"/>
  <c r="J32" i="3"/>
  <c r="J32" i="4"/>
  <c r="J32" i="5"/>
  <c r="J32" i="11"/>
  <c r="J32" i="13"/>
  <c r="L32" i="27"/>
  <c r="K32" i="3"/>
  <c r="K32" i="4"/>
  <c r="K32" i="5"/>
  <c r="K32" i="11"/>
  <c r="K32" i="13"/>
  <c r="M32" i="27"/>
  <c r="L32" i="3"/>
  <c r="L32" i="4"/>
  <c r="L32" i="5"/>
  <c r="L32" i="11"/>
  <c r="L32" i="13"/>
  <c r="I33" i="27"/>
  <c r="H33" i="3"/>
  <c r="H33" i="4"/>
  <c r="H33" i="5"/>
  <c r="H33" i="11"/>
  <c r="H33" i="13"/>
  <c r="J33" i="27"/>
  <c r="I33" i="3"/>
  <c r="I33" i="4"/>
  <c r="I33" i="5"/>
  <c r="I33" i="11"/>
  <c r="I33" i="13"/>
  <c r="K33" i="27"/>
  <c r="J33" i="3"/>
  <c r="J33" i="4"/>
  <c r="J33" i="5"/>
  <c r="J33" i="11"/>
  <c r="J33" i="13"/>
  <c r="L33" i="27"/>
  <c r="K33" i="3"/>
  <c r="K33" i="4"/>
  <c r="K33" i="5"/>
  <c r="K33" i="11"/>
  <c r="K33" i="13"/>
  <c r="M33" i="27"/>
  <c r="L33" i="3"/>
  <c r="L33" i="4"/>
  <c r="L33" i="5"/>
  <c r="L33" i="11"/>
  <c r="L33" i="13"/>
  <c r="I34" i="27"/>
  <c r="H34" i="3"/>
  <c r="H34" i="4"/>
  <c r="H34" i="5"/>
  <c r="H34" i="11"/>
  <c r="H34" i="13"/>
  <c r="J34" i="27"/>
  <c r="I34" i="3"/>
  <c r="I34" i="4"/>
  <c r="I34" i="5"/>
  <c r="I34" i="11"/>
  <c r="I34" i="13"/>
  <c r="K34" i="27"/>
  <c r="J34" i="3"/>
  <c r="J34" i="4"/>
  <c r="J34" i="5"/>
  <c r="J34" i="11"/>
  <c r="J34" i="13"/>
  <c r="L34" i="27"/>
  <c r="K34" i="3"/>
  <c r="K34" i="4"/>
  <c r="K34" i="5"/>
  <c r="K34" i="11"/>
  <c r="K34" i="13"/>
  <c r="M34" i="27"/>
  <c r="L34" i="3"/>
  <c r="L34" i="4"/>
  <c r="L34" i="5"/>
  <c r="L34" i="11"/>
  <c r="L34" i="13"/>
  <c r="I35" i="27"/>
  <c r="H35" i="3"/>
  <c r="H35" i="4"/>
  <c r="H35" i="5"/>
  <c r="H35" i="11"/>
  <c r="H35" i="13"/>
  <c r="J35" i="27"/>
  <c r="I35" i="3"/>
  <c r="I35" i="4"/>
  <c r="I35" i="5"/>
  <c r="I35" i="11"/>
  <c r="I35" i="13"/>
  <c r="K35" i="27"/>
  <c r="J35" i="3"/>
  <c r="J35" i="4"/>
  <c r="J35" i="5"/>
  <c r="J35" i="11"/>
  <c r="J35" i="13"/>
  <c r="L35" i="27"/>
  <c r="K35" i="3"/>
  <c r="K35" i="4"/>
  <c r="K35" i="5"/>
  <c r="K35" i="11"/>
  <c r="K35" i="13"/>
  <c r="M35" i="27"/>
  <c r="L35" i="3"/>
  <c r="L35" i="4"/>
  <c r="L35" i="5"/>
  <c r="L35" i="11"/>
  <c r="L35" i="13"/>
  <c r="I20" i="27"/>
  <c r="H20" i="3"/>
  <c r="H20" i="4"/>
  <c r="H20" i="5"/>
  <c r="H20" i="11"/>
  <c r="H20" i="13"/>
  <c r="J20" i="27"/>
  <c r="I20" i="3"/>
  <c r="I20" i="4"/>
  <c r="I20" i="5"/>
  <c r="I20" i="11"/>
  <c r="I20" i="13"/>
  <c r="K20" i="27"/>
  <c r="J20" i="3"/>
  <c r="J20" i="4"/>
  <c r="J20" i="5"/>
  <c r="J20" i="11"/>
  <c r="J20" i="13"/>
  <c r="L20" i="27"/>
  <c r="K20" i="3"/>
  <c r="K20" i="4"/>
  <c r="K20" i="5"/>
  <c r="K20" i="11"/>
  <c r="K20" i="13"/>
  <c r="M20" i="27"/>
  <c r="L20" i="3"/>
  <c r="L20" i="4"/>
  <c r="L20" i="5"/>
  <c r="L20" i="11"/>
  <c r="L20" i="13"/>
  <c r="I21" i="27"/>
  <c r="H21" i="3"/>
  <c r="H21" i="4"/>
  <c r="H21" i="5"/>
  <c r="H21" i="11"/>
  <c r="H21" i="13"/>
  <c r="J21" i="27"/>
  <c r="I21" i="3"/>
  <c r="I21" i="4"/>
  <c r="I21" i="5"/>
  <c r="I21" i="11"/>
  <c r="I21" i="13"/>
  <c r="K21" i="27"/>
  <c r="J21" i="3"/>
  <c r="J21" i="4"/>
  <c r="J21" i="5"/>
  <c r="J21" i="11"/>
  <c r="J21" i="13"/>
  <c r="L21" i="27"/>
  <c r="K21" i="3"/>
  <c r="K21" i="4"/>
  <c r="K21" i="5"/>
  <c r="K21" i="11"/>
  <c r="K21" i="13"/>
  <c r="M21" i="27"/>
  <c r="L21" i="3"/>
  <c r="L21" i="4"/>
  <c r="L21" i="5"/>
  <c r="L21" i="11"/>
  <c r="L21" i="13"/>
  <c r="I22" i="27"/>
  <c r="H22" i="3"/>
  <c r="H22" i="4"/>
  <c r="H22" i="5"/>
  <c r="H22" i="11"/>
  <c r="H22" i="13"/>
  <c r="J22" i="27"/>
  <c r="I22" i="3"/>
  <c r="I22" i="4"/>
  <c r="I22" i="5"/>
  <c r="I22" i="11"/>
  <c r="I22" i="13"/>
  <c r="K22" i="27"/>
  <c r="J22" i="3"/>
  <c r="J22" i="4"/>
  <c r="J22" i="5"/>
  <c r="J22" i="11"/>
  <c r="J22" i="13"/>
  <c r="L22" i="27"/>
  <c r="K22" i="3"/>
  <c r="K22" i="4"/>
  <c r="K22" i="5"/>
  <c r="K22" i="11"/>
  <c r="K22" i="13"/>
  <c r="M22" i="27"/>
  <c r="L22" i="3"/>
  <c r="L22" i="4"/>
  <c r="L22" i="5"/>
  <c r="L22" i="11"/>
  <c r="L22" i="13"/>
  <c r="I23" i="27"/>
  <c r="H23" i="3"/>
  <c r="H23" i="4"/>
  <c r="H23" i="5"/>
  <c r="H23" i="11"/>
  <c r="H23" i="13"/>
  <c r="J23" i="27"/>
  <c r="I23" i="3"/>
  <c r="I23" i="4"/>
  <c r="I23" i="5"/>
  <c r="I23" i="11"/>
  <c r="I23" i="13"/>
  <c r="K23" i="27"/>
  <c r="J23" i="3"/>
  <c r="J23" i="4"/>
  <c r="J23" i="5"/>
  <c r="J23" i="11"/>
  <c r="J23" i="13"/>
  <c r="L23" i="27"/>
  <c r="K23" i="3"/>
  <c r="K23" i="4"/>
  <c r="K23" i="5"/>
  <c r="K23" i="11"/>
  <c r="K23" i="13"/>
  <c r="M23" i="27"/>
  <c r="L23" i="3"/>
  <c r="L23" i="4"/>
  <c r="L23" i="5"/>
  <c r="L23" i="11"/>
  <c r="L23" i="13"/>
  <c r="I24" i="27"/>
  <c r="H24" i="3"/>
  <c r="H24" i="4"/>
  <c r="H24" i="5"/>
  <c r="H24" i="11"/>
  <c r="H24" i="13"/>
  <c r="J24" i="27"/>
  <c r="I24" i="3"/>
  <c r="I24" i="4"/>
  <c r="I24" i="5"/>
  <c r="I24" i="11"/>
  <c r="I24" i="13"/>
  <c r="K24" i="27"/>
  <c r="J24" i="3"/>
  <c r="J24" i="4"/>
  <c r="J24" i="5"/>
  <c r="J24" i="11"/>
  <c r="J24" i="13"/>
  <c r="L24" i="27"/>
  <c r="K24" i="3"/>
  <c r="K24" i="4"/>
  <c r="K24" i="5"/>
  <c r="K24" i="11"/>
  <c r="K24" i="13"/>
  <c r="M24" i="27"/>
  <c r="L24" i="3"/>
  <c r="L24" i="4"/>
  <c r="L24" i="5"/>
  <c r="L24" i="11"/>
  <c r="L24" i="13"/>
  <c r="I25" i="27"/>
  <c r="H25" i="3"/>
  <c r="H25" i="4"/>
  <c r="H25" i="5"/>
  <c r="H25" i="11"/>
  <c r="H25" i="13"/>
  <c r="J25" i="27"/>
  <c r="I25" i="3"/>
  <c r="I25" i="4"/>
  <c r="I25" i="5"/>
  <c r="I25" i="11"/>
  <c r="I25" i="13"/>
  <c r="K25" i="27"/>
  <c r="J25" i="3"/>
  <c r="J25" i="4"/>
  <c r="J25" i="5"/>
  <c r="J25" i="11"/>
  <c r="J25" i="13"/>
  <c r="L25" i="27"/>
  <c r="K25" i="3"/>
  <c r="K25" i="4"/>
  <c r="K25" i="5"/>
  <c r="K25" i="11"/>
  <c r="K25" i="13"/>
  <c r="M25" i="27"/>
  <c r="L25" i="3"/>
  <c r="L25" i="4"/>
  <c r="L25" i="5"/>
  <c r="L25" i="11"/>
  <c r="L25" i="13"/>
  <c r="I26" i="27"/>
  <c r="H26" i="3"/>
  <c r="H26" i="4"/>
  <c r="H26" i="5"/>
  <c r="H26" i="11"/>
  <c r="H26" i="13"/>
  <c r="J26" i="27"/>
  <c r="I26" i="3"/>
  <c r="I26" i="4"/>
  <c r="I26" i="5"/>
  <c r="I26" i="11"/>
  <c r="I26" i="13"/>
  <c r="K26" i="27"/>
  <c r="J26" i="3"/>
  <c r="J26" i="4"/>
  <c r="J26" i="5"/>
  <c r="J26" i="11"/>
  <c r="J26" i="13"/>
  <c r="L26" i="27"/>
  <c r="K26" i="3"/>
  <c r="K26" i="4"/>
  <c r="K26" i="5"/>
  <c r="K26" i="11"/>
  <c r="K26" i="13"/>
  <c r="M26" i="27"/>
  <c r="L26" i="3"/>
  <c r="L26" i="4"/>
  <c r="L26" i="5"/>
  <c r="L26" i="11"/>
  <c r="L26" i="13"/>
  <c r="J19" i="27"/>
  <c r="I19" i="3"/>
  <c r="I19" i="4"/>
  <c r="I19" i="5"/>
  <c r="I19" i="11"/>
  <c r="I19" i="13"/>
  <c r="K19" i="27"/>
  <c r="J19" i="3"/>
  <c r="J19" i="4"/>
  <c r="J19" i="5"/>
  <c r="J19" i="11"/>
  <c r="J19" i="13"/>
  <c r="L19" i="27"/>
  <c r="K19" i="3"/>
  <c r="K19" i="4"/>
  <c r="K19" i="5"/>
  <c r="K19" i="11"/>
  <c r="K19" i="13"/>
  <c r="M19" i="27"/>
  <c r="L19" i="3"/>
  <c r="L19" i="4"/>
  <c r="L19" i="5"/>
  <c r="L19" i="11"/>
  <c r="L19" i="13"/>
  <c r="I19" i="27"/>
  <c r="H19" i="3"/>
  <c r="H19" i="4"/>
  <c r="H19" i="5"/>
  <c r="H19" i="11"/>
  <c r="H19" i="13"/>
  <c r="I7" i="27"/>
  <c r="H7" i="3"/>
  <c r="H7" i="4"/>
  <c r="H7" i="5"/>
  <c r="H7" i="11"/>
  <c r="H7" i="13"/>
  <c r="J7" i="27"/>
  <c r="I7" i="3"/>
  <c r="I7" i="4"/>
  <c r="I7" i="5"/>
  <c r="I7" i="11"/>
  <c r="I7" i="13"/>
  <c r="K7" i="27"/>
  <c r="J7" i="3"/>
  <c r="J7" i="4"/>
  <c r="J7" i="5"/>
  <c r="J7" i="11"/>
  <c r="J7" i="13"/>
  <c r="L7" i="27"/>
  <c r="K7" i="3"/>
  <c r="K7" i="4"/>
  <c r="K7" i="5"/>
  <c r="K7" i="11"/>
  <c r="K7" i="13"/>
  <c r="M7" i="27"/>
  <c r="L7" i="3"/>
  <c r="L7" i="4"/>
  <c r="L7" i="5"/>
  <c r="L7" i="11"/>
  <c r="L7" i="13"/>
  <c r="I8" i="27"/>
  <c r="H8" i="3"/>
  <c r="H8" i="4"/>
  <c r="H8" i="5"/>
  <c r="H8" i="11"/>
  <c r="H8" i="13"/>
  <c r="J8" i="27"/>
  <c r="I8" i="3"/>
  <c r="I8" i="4"/>
  <c r="I8" i="5"/>
  <c r="I8" i="11"/>
  <c r="I8" i="13"/>
  <c r="K8" i="27"/>
  <c r="J8" i="3"/>
  <c r="J8" i="4"/>
  <c r="J8" i="5"/>
  <c r="J8" i="11"/>
  <c r="J8" i="13"/>
  <c r="L8" i="27"/>
  <c r="K8" i="3"/>
  <c r="K8" i="4"/>
  <c r="K8" i="5"/>
  <c r="K8" i="11"/>
  <c r="K8" i="13"/>
  <c r="M8" i="27"/>
  <c r="L8" i="3"/>
  <c r="L8" i="4"/>
  <c r="L8" i="5"/>
  <c r="L8" i="11"/>
  <c r="L8" i="13"/>
  <c r="I9" i="27"/>
  <c r="H9" i="3"/>
  <c r="H9" i="4"/>
  <c r="H9" i="5"/>
  <c r="H9" i="11"/>
  <c r="H9" i="13"/>
  <c r="J9" i="27"/>
  <c r="I9" i="3"/>
  <c r="I9" i="4"/>
  <c r="I9" i="5"/>
  <c r="I9" i="11"/>
  <c r="I9" i="13"/>
  <c r="K9" i="27"/>
  <c r="J9" i="3"/>
  <c r="J9" i="4"/>
  <c r="J9" i="5"/>
  <c r="J9" i="11"/>
  <c r="J9" i="13"/>
  <c r="L9" i="27"/>
  <c r="K9" i="3"/>
  <c r="K9" i="4"/>
  <c r="K9" i="5"/>
  <c r="K9" i="11"/>
  <c r="K9" i="13"/>
  <c r="M9" i="27"/>
  <c r="L9" i="3"/>
  <c r="L9" i="4"/>
  <c r="L9" i="5"/>
  <c r="L9" i="11"/>
  <c r="L9" i="13"/>
  <c r="I10" i="27"/>
  <c r="H10" i="3"/>
  <c r="H10" i="4"/>
  <c r="H10" i="5"/>
  <c r="H10" i="11"/>
  <c r="H10" i="13"/>
  <c r="J10" i="27"/>
  <c r="I10" i="3"/>
  <c r="I10" i="4"/>
  <c r="I10" i="5"/>
  <c r="I10" i="11"/>
  <c r="I10" i="13"/>
  <c r="K10" i="27"/>
  <c r="J10" i="3"/>
  <c r="J10" i="4"/>
  <c r="J10" i="5"/>
  <c r="J10" i="11"/>
  <c r="J10" i="13"/>
  <c r="L10" i="27"/>
  <c r="K10" i="3"/>
  <c r="K10" i="4"/>
  <c r="K10" i="5"/>
  <c r="K10" i="11"/>
  <c r="K10" i="13"/>
  <c r="M10" i="27"/>
  <c r="L10" i="3"/>
  <c r="L10" i="4"/>
  <c r="L10" i="5"/>
  <c r="L10" i="11"/>
  <c r="L10" i="13"/>
  <c r="I11" i="27"/>
  <c r="H11" i="3"/>
  <c r="H11" i="4"/>
  <c r="H11" i="5"/>
  <c r="H11" i="11"/>
  <c r="H11" i="13"/>
  <c r="J11" i="27"/>
  <c r="I11" i="3"/>
  <c r="I11" i="4"/>
  <c r="I11" i="5"/>
  <c r="I11" i="11"/>
  <c r="I11" i="13"/>
  <c r="K11" i="27"/>
  <c r="J11" i="3"/>
  <c r="J11" i="4"/>
  <c r="J11" i="5"/>
  <c r="J11" i="11"/>
  <c r="J11" i="13"/>
  <c r="L11" i="27"/>
  <c r="K11" i="3"/>
  <c r="K11" i="4"/>
  <c r="K11" i="5"/>
  <c r="K11" i="11"/>
  <c r="K11" i="13"/>
  <c r="M11" i="27"/>
  <c r="L11" i="3"/>
  <c r="L11" i="4"/>
  <c r="L11" i="5"/>
  <c r="L11" i="11"/>
  <c r="L11" i="13"/>
  <c r="I12" i="27"/>
  <c r="H12" i="3"/>
  <c r="H12" i="4"/>
  <c r="H12" i="5"/>
  <c r="H12" i="11"/>
  <c r="H12" i="13"/>
  <c r="J12" i="27"/>
  <c r="I12" i="3"/>
  <c r="I12" i="4"/>
  <c r="I12" i="5"/>
  <c r="I12" i="11"/>
  <c r="I12" i="13"/>
  <c r="K12" i="27"/>
  <c r="J12" i="3"/>
  <c r="J12" i="4"/>
  <c r="J12" i="5"/>
  <c r="J12" i="11"/>
  <c r="J12" i="13"/>
  <c r="L12" i="27"/>
  <c r="K12" i="3"/>
  <c r="K12" i="4"/>
  <c r="K12" i="5"/>
  <c r="K12" i="11"/>
  <c r="K12" i="13"/>
  <c r="M12" i="27"/>
  <c r="L12" i="3"/>
  <c r="L12" i="4"/>
  <c r="L12" i="5"/>
  <c r="L12" i="11"/>
  <c r="L12" i="13"/>
  <c r="I13" i="27"/>
  <c r="H13" i="3"/>
  <c r="H13" i="4"/>
  <c r="H13" i="5"/>
  <c r="H13" i="11"/>
  <c r="H13" i="13"/>
  <c r="J13" i="27"/>
  <c r="I13" i="3"/>
  <c r="I13" i="4"/>
  <c r="I13" i="5"/>
  <c r="I13" i="11"/>
  <c r="I13" i="13"/>
  <c r="K13" i="27"/>
  <c r="J13" i="3"/>
  <c r="J13" i="4"/>
  <c r="J13" i="5"/>
  <c r="J13" i="11"/>
  <c r="J13" i="13"/>
  <c r="L13" i="27"/>
  <c r="K13" i="3"/>
  <c r="K13" i="4"/>
  <c r="K13" i="5"/>
  <c r="K13" i="11"/>
  <c r="K13" i="13"/>
  <c r="M13" i="27"/>
  <c r="L13" i="3"/>
  <c r="L13" i="4"/>
  <c r="L13" i="5"/>
  <c r="L13" i="11"/>
  <c r="L13" i="13"/>
  <c r="I14" i="27"/>
  <c r="H14" i="3"/>
  <c r="H14" i="4"/>
  <c r="H14" i="5"/>
  <c r="H14" i="11"/>
  <c r="H14" i="13"/>
  <c r="J14" i="27"/>
  <c r="I14" i="3"/>
  <c r="I14" i="4"/>
  <c r="I14" i="5"/>
  <c r="I14" i="11"/>
  <c r="I14" i="13"/>
  <c r="K14" i="27"/>
  <c r="J14" i="3"/>
  <c r="J14" i="4"/>
  <c r="J14" i="5"/>
  <c r="J14" i="11"/>
  <c r="J14" i="13"/>
  <c r="L14" i="27"/>
  <c r="K14" i="3"/>
  <c r="K14" i="4"/>
  <c r="K14" i="5"/>
  <c r="K14" i="11"/>
  <c r="K14" i="13"/>
  <c r="M14" i="27"/>
  <c r="L14" i="3"/>
  <c r="L14" i="4"/>
  <c r="L14" i="5"/>
  <c r="L14" i="11"/>
  <c r="L14" i="13"/>
  <c r="I15" i="27"/>
  <c r="H15" i="3"/>
  <c r="H15" i="4"/>
  <c r="H15" i="5"/>
  <c r="H15" i="11"/>
  <c r="H15" i="13"/>
  <c r="J15" i="27"/>
  <c r="I15" i="3"/>
  <c r="I15" i="4"/>
  <c r="I15" i="5"/>
  <c r="I15" i="11"/>
  <c r="I15" i="13"/>
  <c r="K15" i="27"/>
  <c r="J15" i="3"/>
  <c r="J15" i="4"/>
  <c r="J15" i="5"/>
  <c r="J15" i="11"/>
  <c r="J15" i="13"/>
  <c r="L15" i="27"/>
  <c r="K15" i="3"/>
  <c r="K15" i="4"/>
  <c r="K15" i="5"/>
  <c r="K15" i="11"/>
  <c r="K15" i="13"/>
  <c r="M15" i="27"/>
  <c r="L15" i="3"/>
  <c r="L15" i="4"/>
  <c r="L15" i="5"/>
  <c r="L15" i="11"/>
  <c r="L15" i="13"/>
  <c r="I16" i="27"/>
  <c r="H16" i="3"/>
  <c r="H16" i="4"/>
  <c r="H16" i="5"/>
  <c r="H16" i="11"/>
  <c r="H16" i="13"/>
  <c r="J16" i="27"/>
  <c r="I16" i="3"/>
  <c r="I16" i="4"/>
  <c r="I16" i="5"/>
  <c r="I16" i="11"/>
  <c r="I16" i="13"/>
  <c r="K16" i="27"/>
  <c r="J16" i="3"/>
  <c r="J16" i="4"/>
  <c r="J16" i="5"/>
  <c r="J16" i="11"/>
  <c r="J16" i="13"/>
  <c r="L16" i="27"/>
  <c r="K16" i="3"/>
  <c r="K16" i="4"/>
  <c r="K16" i="5"/>
  <c r="K16" i="11"/>
  <c r="K16" i="13"/>
  <c r="M16" i="27"/>
  <c r="L16" i="3"/>
  <c r="L16" i="4"/>
  <c r="L16" i="5"/>
  <c r="L16" i="11"/>
  <c r="L16" i="13"/>
  <c r="J6" i="27"/>
  <c r="I6" i="3"/>
  <c r="I6" i="4"/>
  <c r="I6" i="5"/>
  <c r="I6" i="11"/>
  <c r="I6" i="13"/>
  <c r="K6" i="27"/>
  <c r="J6" i="3"/>
  <c r="J6" i="4"/>
  <c r="J6" i="5"/>
  <c r="J6" i="11"/>
  <c r="J6" i="13"/>
  <c r="L6" i="27"/>
  <c r="K6" i="3"/>
  <c r="K6" i="4"/>
  <c r="K6" i="5"/>
  <c r="K6" i="11"/>
  <c r="K6" i="13"/>
  <c r="M6" i="27"/>
  <c r="L6" i="3"/>
  <c r="L6" i="4"/>
  <c r="L6" i="5"/>
  <c r="L6" i="11"/>
  <c r="L6" i="13"/>
  <c r="I6" i="27"/>
  <c r="H6" i="3"/>
  <c r="H6" i="4"/>
  <c r="H6" i="5"/>
  <c r="H6" i="11"/>
  <c r="H6" i="13"/>
  <c r="I38" i="20"/>
  <c r="J38"/>
  <c r="K38"/>
  <c r="L38"/>
  <c r="I39"/>
  <c r="J39"/>
  <c r="K39"/>
  <c r="L39"/>
  <c r="H39"/>
  <c r="H38"/>
  <c r="H33"/>
  <c r="I33"/>
  <c r="J33"/>
  <c r="K33"/>
  <c r="L33"/>
  <c r="H34"/>
  <c r="I34"/>
  <c r="J34"/>
  <c r="K34"/>
  <c r="L34"/>
  <c r="H35"/>
  <c r="I35"/>
  <c r="J35"/>
  <c r="K35"/>
  <c r="L35"/>
  <c r="H20"/>
  <c r="I20"/>
  <c r="J20"/>
  <c r="K20"/>
  <c r="L20"/>
  <c r="H21"/>
  <c r="I21"/>
  <c r="J21"/>
  <c r="K21"/>
  <c r="L21"/>
  <c r="H22"/>
  <c r="I22"/>
  <c r="J22"/>
  <c r="K22"/>
  <c r="L22"/>
  <c r="H23"/>
  <c r="I23"/>
  <c r="J23"/>
  <c r="K23"/>
  <c r="L23"/>
  <c r="H24"/>
  <c r="I24"/>
  <c r="J24"/>
  <c r="K24"/>
  <c r="L24"/>
  <c r="H25"/>
  <c r="I25"/>
  <c r="J25"/>
  <c r="K25"/>
  <c r="L25"/>
  <c r="H26"/>
  <c r="I26"/>
  <c r="J26"/>
  <c r="K26"/>
  <c r="L26"/>
  <c r="H27"/>
  <c r="I27"/>
  <c r="J27"/>
  <c r="K27"/>
  <c r="L27"/>
  <c r="H28"/>
  <c r="I28"/>
  <c r="J28"/>
  <c r="K28"/>
  <c r="L28"/>
  <c r="H29"/>
  <c r="I29"/>
  <c r="J29"/>
  <c r="K29"/>
  <c r="L29"/>
  <c r="H30"/>
  <c r="I30"/>
  <c r="J30"/>
  <c r="K30"/>
  <c r="L30"/>
  <c r="H31"/>
  <c r="I31"/>
  <c r="J31"/>
  <c r="K31"/>
  <c r="L31"/>
  <c r="H32"/>
  <c r="I32"/>
  <c r="J32"/>
  <c r="K32"/>
  <c r="L32"/>
  <c r="I19"/>
  <c r="J19"/>
  <c r="K19"/>
  <c r="L19"/>
  <c r="H19"/>
  <c r="H7"/>
  <c r="I7"/>
  <c r="J7"/>
  <c r="K7"/>
  <c r="L7"/>
  <c r="H8"/>
  <c r="I8"/>
  <c r="J8"/>
  <c r="K8"/>
  <c r="L8"/>
  <c r="H9"/>
  <c r="I9"/>
  <c r="J9"/>
  <c r="K9"/>
  <c r="L9"/>
  <c r="H10"/>
  <c r="I10"/>
  <c r="J10"/>
  <c r="K10"/>
  <c r="L10"/>
  <c r="H11"/>
  <c r="I11"/>
  <c r="J11"/>
  <c r="K11"/>
  <c r="L11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16"/>
  <c r="I16"/>
  <c r="J16"/>
  <c r="K16"/>
  <c r="L16"/>
  <c r="I6"/>
  <c r="J6"/>
  <c r="K6"/>
  <c r="L6"/>
  <c r="H6"/>
  <c r="I17" i="27"/>
  <c r="C17" i="29"/>
  <c r="J17" i="27"/>
  <c r="D17" i="29"/>
  <c r="K17" i="27"/>
  <c r="E17" i="29"/>
  <c r="L17" i="27"/>
  <c r="F17" i="29"/>
  <c r="M17" i="27"/>
  <c r="G17" i="29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E6"/>
  <c r="F6"/>
  <c r="G6"/>
  <c r="D6"/>
  <c r="C6"/>
  <c r="J36" i="27"/>
  <c r="J41"/>
  <c r="J42"/>
  <c r="D42" i="28"/>
  <c r="K36" i="27"/>
  <c r="K41"/>
  <c r="K42"/>
  <c r="E42" i="28"/>
  <c r="L36" i="27"/>
  <c r="L41"/>
  <c r="L42"/>
  <c r="F42" i="28"/>
  <c r="M36" i="27"/>
  <c r="M41"/>
  <c r="M42"/>
  <c r="G42" i="28"/>
  <c r="I36" i="27"/>
  <c r="I41"/>
  <c r="I42"/>
  <c r="C42" i="28"/>
  <c r="D39"/>
  <c r="E39"/>
  <c r="F39"/>
  <c r="G39"/>
  <c r="D40"/>
  <c r="E40"/>
  <c r="F40"/>
  <c r="G40"/>
  <c r="D41"/>
  <c r="E41"/>
  <c r="F41"/>
  <c r="G41"/>
  <c r="C41"/>
  <c r="C40"/>
  <c r="C39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I37" i="27"/>
  <c r="C37" i="28"/>
  <c r="J37" i="27"/>
  <c r="D37" i="28"/>
  <c r="K37" i="27"/>
  <c r="E37" i="28"/>
  <c r="L37" i="27"/>
  <c r="F37" i="28"/>
  <c r="M37" i="27"/>
  <c r="G37" i="28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D19"/>
  <c r="E19"/>
  <c r="F19"/>
  <c r="G19"/>
  <c r="C19"/>
  <c r="C17"/>
  <c r="D17"/>
  <c r="E17"/>
  <c r="F17"/>
  <c r="G17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D6"/>
  <c r="E6"/>
  <c r="F6"/>
  <c r="G6"/>
  <c r="C6"/>
  <c r="G43" i="35"/>
  <c r="G42"/>
  <c r="D42"/>
  <c r="E42"/>
  <c r="F42"/>
  <c r="D43"/>
  <c r="E43"/>
  <c r="F43"/>
  <c r="C43"/>
  <c r="C42"/>
  <c r="G41"/>
  <c r="F41"/>
  <c r="E41"/>
  <c r="D41"/>
  <c r="C41"/>
  <c r="G40"/>
  <c r="F40"/>
  <c r="E40"/>
  <c r="D40"/>
  <c r="C40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D7"/>
  <c r="E7"/>
  <c r="F7"/>
  <c r="C7"/>
  <c r="I37" i="28"/>
  <c r="J37"/>
  <c r="K37"/>
  <c r="L37"/>
  <c r="M37"/>
  <c r="N37"/>
  <c r="H37"/>
  <c r="M8" i="35"/>
  <c r="N8"/>
  <c r="O8"/>
  <c r="P8"/>
  <c r="Q8"/>
  <c r="R8"/>
  <c r="M9"/>
  <c r="N9"/>
  <c r="O9"/>
  <c r="P9"/>
  <c r="Q9"/>
  <c r="R9"/>
  <c r="M10"/>
  <c r="N10"/>
  <c r="O10"/>
  <c r="P10"/>
  <c r="Q10"/>
  <c r="R10"/>
  <c r="M11"/>
  <c r="N11"/>
  <c r="O11"/>
  <c r="P11"/>
  <c r="Q11"/>
  <c r="R11"/>
  <c r="M12"/>
  <c r="N12"/>
  <c r="O12"/>
  <c r="P12"/>
  <c r="Q12"/>
  <c r="R12"/>
  <c r="M13"/>
  <c r="N13"/>
  <c r="O13"/>
  <c r="P13"/>
  <c r="Q13"/>
  <c r="R13"/>
  <c r="M14"/>
  <c r="N14"/>
  <c r="O14"/>
  <c r="P14"/>
  <c r="Q14"/>
  <c r="R14"/>
  <c r="M15"/>
  <c r="N15"/>
  <c r="O15"/>
  <c r="P15"/>
  <c r="Q15"/>
  <c r="R15"/>
  <c r="M16"/>
  <c r="N16"/>
  <c r="O16"/>
  <c r="P16"/>
  <c r="Q16"/>
  <c r="R16"/>
  <c r="M17"/>
  <c r="N17"/>
  <c r="O17"/>
  <c r="P17"/>
  <c r="Q17"/>
  <c r="R17"/>
  <c r="C18"/>
  <c r="H18"/>
  <c r="M18"/>
  <c r="D18"/>
  <c r="I18"/>
  <c r="N18"/>
  <c r="E18"/>
  <c r="J18"/>
  <c r="O18"/>
  <c r="F18"/>
  <c r="K18"/>
  <c r="P18"/>
  <c r="G18"/>
  <c r="L18"/>
  <c r="Q18"/>
  <c r="R18"/>
  <c r="M20"/>
  <c r="N20"/>
  <c r="O20"/>
  <c r="P20"/>
  <c r="Q20"/>
  <c r="R20"/>
  <c r="M21"/>
  <c r="N21"/>
  <c r="O21"/>
  <c r="P21"/>
  <c r="Q21"/>
  <c r="R21"/>
  <c r="M22"/>
  <c r="N22"/>
  <c r="O22"/>
  <c r="P22"/>
  <c r="Q22"/>
  <c r="R22"/>
  <c r="M23"/>
  <c r="N23"/>
  <c r="O23"/>
  <c r="P23"/>
  <c r="Q23"/>
  <c r="R23"/>
  <c r="M24"/>
  <c r="N24"/>
  <c r="O24"/>
  <c r="P24"/>
  <c r="Q24"/>
  <c r="R24"/>
  <c r="M25"/>
  <c r="N25"/>
  <c r="O25"/>
  <c r="P25"/>
  <c r="Q25"/>
  <c r="R25"/>
  <c r="M26"/>
  <c r="N26"/>
  <c r="O26"/>
  <c r="P26"/>
  <c r="Q26"/>
  <c r="R26"/>
  <c r="M27"/>
  <c r="N27"/>
  <c r="O27"/>
  <c r="P27"/>
  <c r="Q27"/>
  <c r="R27"/>
  <c r="M28"/>
  <c r="N28"/>
  <c r="O28"/>
  <c r="P28"/>
  <c r="Q28"/>
  <c r="R28"/>
  <c r="M29"/>
  <c r="N29"/>
  <c r="O29"/>
  <c r="P29"/>
  <c r="Q29"/>
  <c r="R29"/>
  <c r="M30"/>
  <c r="N30"/>
  <c r="O30"/>
  <c r="P30"/>
  <c r="Q30"/>
  <c r="R30"/>
  <c r="M31"/>
  <c r="N31"/>
  <c r="O31"/>
  <c r="P31"/>
  <c r="Q31"/>
  <c r="R31"/>
  <c r="M32"/>
  <c r="N32"/>
  <c r="O32"/>
  <c r="P32"/>
  <c r="Q32"/>
  <c r="R32"/>
  <c r="M33"/>
  <c r="N33"/>
  <c r="O33"/>
  <c r="P33"/>
  <c r="Q33"/>
  <c r="R33"/>
  <c r="M34"/>
  <c r="N34"/>
  <c r="O34"/>
  <c r="P34"/>
  <c r="Q34"/>
  <c r="R34"/>
  <c r="M35"/>
  <c r="N35"/>
  <c r="O35"/>
  <c r="P35"/>
  <c r="Q35"/>
  <c r="R35"/>
  <c r="M36"/>
  <c r="N36"/>
  <c r="O36"/>
  <c r="P36"/>
  <c r="Q36"/>
  <c r="R36"/>
  <c r="C37"/>
  <c r="H37"/>
  <c r="M37"/>
  <c r="D37"/>
  <c r="I37"/>
  <c r="N37"/>
  <c r="E37"/>
  <c r="J37"/>
  <c r="O37"/>
  <c r="F37"/>
  <c r="K37"/>
  <c r="P37"/>
  <c r="G37"/>
  <c r="L37"/>
  <c r="Q37"/>
  <c r="R37"/>
  <c r="C38"/>
  <c r="H38"/>
  <c r="M38"/>
  <c r="D38"/>
  <c r="I38"/>
  <c r="N38"/>
  <c r="E38"/>
  <c r="J38"/>
  <c r="O38"/>
  <c r="F38"/>
  <c r="K38"/>
  <c r="P38"/>
  <c r="G38"/>
  <c r="L38"/>
  <c r="Q38"/>
  <c r="R38"/>
  <c r="M40"/>
  <c r="N40"/>
  <c r="O40"/>
  <c r="P40"/>
  <c r="Q40"/>
  <c r="R40"/>
  <c r="M41"/>
  <c r="N41"/>
  <c r="O41"/>
  <c r="P41"/>
  <c r="Q41"/>
  <c r="R41"/>
  <c r="M42"/>
  <c r="N42"/>
  <c r="O42"/>
  <c r="P42"/>
  <c r="Q42"/>
  <c r="R42"/>
  <c r="M43"/>
  <c r="N43"/>
  <c r="O43"/>
  <c r="P43"/>
  <c r="Q43"/>
  <c r="R43"/>
  <c r="C44"/>
  <c r="H44"/>
  <c r="M44"/>
  <c r="D44"/>
  <c r="I44"/>
  <c r="N44"/>
  <c r="E44"/>
  <c r="J44"/>
  <c r="O44"/>
  <c r="F44"/>
  <c r="K44"/>
  <c r="P44"/>
  <c r="G44"/>
  <c r="L44"/>
  <c r="Q44"/>
  <c r="R44"/>
  <c r="C45"/>
  <c r="H45"/>
  <c r="M45"/>
  <c r="D45"/>
  <c r="I45"/>
  <c r="N45"/>
  <c r="E45"/>
  <c r="J45"/>
  <c r="O45"/>
  <c r="F45"/>
  <c r="K45"/>
  <c r="P45"/>
  <c r="G45"/>
  <c r="L45"/>
  <c r="Q45"/>
  <c r="R45"/>
  <c r="M7"/>
  <c r="N7"/>
  <c r="O7"/>
  <c r="P7"/>
  <c r="Q7"/>
  <c r="R7"/>
  <c r="D45" i="22"/>
  <c r="D52" i="34"/>
  <c r="L8"/>
  <c r="E45" i="22"/>
  <c r="E52" i="34"/>
  <c r="M8"/>
  <c r="F45" i="22"/>
  <c r="F52" i="34"/>
  <c r="N8"/>
  <c r="G45" i="22"/>
  <c r="G52" i="34"/>
  <c r="O8"/>
  <c r="H45" i="22"/>
  <c r="I52" i="34"/>
  <c r="P8"/>
  <c r="Q8"/>
  <c r="R8"/>
  <c r="L9"/>
  <c r="M9"/>
  <c r="N9"/>
  <c r="O9"/>
  <c r="P9"/>
  <c r="Q9"/>
  <c r="R9"/>
  <c r="L10"/>
  <c r="M10"/>
  <c r="N10"/>
  <c r="O10"/>
  <c r="P10"/>
  <c r="Q10"/>
  <c r="R10"/>
  <c r="L11"/>
  <c r="M11"/>
  <c r="N11"/>
  <c r="O11"/>
  <c r="P11"/>
  <c r="Q11"/>
  <c r="R11"/>
  <c r="L12"/>
  <c r="M12"/>
  <c r="N12"/>
  <c r="O12"/>
  <c r="P12"/>
  <c r="Q12"/>
  <c r="R12"/>
  <c r="L13"/>
  <c r="M13"/>
  <c r="N13"/>
  <c r="O13"/>
  <c r="P13"/>
  <c r="Q13"/>
  <c r="R13"/>
  <c r="L14"/>
  <c r="M14"/>
  <c r="N14"/>
  <c r="O14"/>
  <c r="P14"/>
  <c r="Q14"/>
  <c r="R14"/>
  <c r="L15"/>
  <c r="M15"/>
  <c r="N15"/>
  <c r="O15"/>
  <c r="P15"/>
  <c r="Q15"/>
  <c r="R15"/>
  <c r="L16"/>
  <c r="M16"/>
  <c r="N16"/>
  <c r="O16"/>
  <c r="P16"/>
  <c r="Q16"/>
  <c r="R16"/>
  <c r="L17"/>
  <c r="M17"/>
  <c r="N17"/>
  <c r="O17"/>
  <c r="P17"/>
  <c r="Q17"/>
  <c r="R17"/>
  <c r="L7"/>
  <c r="M7"/>
  <c r="N7"/>
  <c r="O7"/>
  <c r="P7"/>
  <c r="Q7"/>
  <c r="Q18"/>
  <c r="C18"/>
  <c r="R18"/>
  <c r="L20"/>
  <c r="M20"/>
  <c r="N20"/>
  <c r="O20"/>
  <c r="P20"/>
  <c r="Q20"/>
  <c r="R20"/>
  <c r="L21"/>
  <c r="M21"/>
  <c r="N21"/>
  <c r="O21"/>
  <c r="P21"/>
  <c r="Q21"/>
  <c r="R21"/>
  <c r="L22"/>
  <c r="M22"/>
  <c r="N22"/>
  <c r="O22"/>
  <c r="P22"/>
  <c r="Q22"/>
  <c r="R22"/>
  <c r="L23"/>
  <c r="M23"/>
  <c r="N23"/>
  <c r="O23"/>
  <c r="P23"/>
  <c r="Q23"/>
  <c r="R23"/>
  <c r="L24"/>
  <c r="M24"/>
  <c r="N24"/>
  <c r="O24"/>
  <c r="P24"/>
  <c r="Q24"/>
  <c r="R24"/>
  <c r="L25"/>
  <c r="M25"/>
  <c r="N25"/>
  <c r="O25"/>
  <c r="P25"/>
  <c r="Q25"/>
  <c r="R25"/>
  <c r="L26"/>
  <c r="M26"/>
  <c r="N26"/>
  <c r="O26"/>
  <c r="P26"/>
  <c r="Q26"/>
  <c r="R26"/>
  <c r="L27"/>
  <c r="M27"/>
  <c r="N27"/>
  <c r="O27"/>
  <c r="P27"/>
  <c r="Q27"/>
  <c r="R27"/>
  <c r="L28"/>
  <c r="M28"/>
  <c r="N28"/>
  <c r="O28"/>
  <c r="P28"/>
  <c r="Q28"/>
  <c r="R28"/>
  <c r="L29"/>
  <c r="M29"/>
  <c r="N29"/>
  <c r="O29"/>
  <c r="P29"/>
  <c r="Q29"/>
  <c r="R29"/>
  <c r="L30"/>
  <c r="M30"/>
  <c r="N30"/>
  <c r="O30"/>
  <c r="P30"/>
  <c r="Q30"/>
  <c r="R30"/>
  <c r="L31"/>
  <c r="M31"/>
  <c r="N31"/>
  <c r="O31"/>
  <c r="P31"/>
  <c r="Q31"/>
  <c r="R31"/>
  <c r="L32"/>
  <c r="M32"/>
  <c r="N32"/>
  <c r="O32"/>
  <c r="P32"/>
  <c r="Q32"/>
  <c r="R32"/>
  <c r="L33"/>
  <c r="M33"/>
  <c r="N33"/>
  <c r="O33"/>
  <c r="P33"/>
  <c r="Q33"/>
  <c r="R33"/>
  <c r="L34"/>
  <c r="M34"/>
  <c r="N34"/>
  <c r="O34"/>
  <c r="P34"/>
  <c r="Q34"/>
  <c r="R34"/>
  <c r="L35"/>
  <c r="M35"/>
  <c r="N35"/>
  <c r="O35"/>
  <c r="P35"/>
  <c r="Q35"/>
  <c r="R35"/>
  <c r="L36"/>
  <c r="M36"/>
  <c r="N36"/>
  <c r="O36"/>
  <c r="P36"/>
  <c r="Q36"/>
  <c r="R36"/>
  <c r="Q37"/>
  <c r="C37"/>
  <c r="R37"/>
  <c r="Q38"/>
  <c r="C38"/>
  <c r="R38"/>
  <c r="L40"/>
  <c r="M40"/>
  <c r="N40"/>
  <c r="O40"/>
  <c r="P40"/>
  <c r="Q40"/>
  <c r="R40"/>
  <c r="L41"/>
  <c r="M41"/>
  <c r="N41"/>
  <c r="O41"/>
  <c r="P41"/>
  <c r="Q41"/>
  <c r="R41"/>
  <c r="L42"/>
  <c r="M42"/>
  <c r="N42"/>
  <c r="O42"/>
  <c r="P42"/>
  <c r="Q42"/>
  <c r="R42"/>
  <c r="L43"/>
  <c r="M43"/>
  <c r="N43"/>
  <c r="O43"/>
  <c r="P43"/>
  <c r="Q43"/>
  <c r="R43"/>
  <c r="L44"/>
  <c r="M44"/>
  <c r="N44"/>
  <c r="O44"/>
  <c r="P44"/>
  <c r="Q44"/>
  <c r="R44"/>
  <c r="L45"/>
  <c r="M45"/>
  <c r="N45"/>
  <c r="O45"/>
  <c r="P45"/>
  <c r="Q45"/>
  <c r="R45"/>
  <c r="L46"/>
  <c r="M46"/>
  <c r="N46"/>
  <c r="O46"/>
  <c r="P46"/>
  <c r="Q46"/>
  <c r="R46"/>
  <c r="Q47"/>
  <c r="C47"/>
  <c r="R47"/>
  <c r="Q48"/>
  <c r="C48"/>
  <c r="R48"/>
  <c r="R7"/>
  <c r="K40"/>
  <c r="K41"/>
  <c r="K42"/>
  <c r="K43"/>
  <c r="K44"/>
  <c r="K45"/>
  <c r="K46"/>
  <c r="K47"/>
  <c r="K7"/>
  <c r="K8"/>
  <c r="K9"/>
  <c r="K10"/>
  <c r="K11"/>
  <c r="K12"/>
  <c r="K13"/>
  <c r="K14"/>
  <c r="K15"/>
  <c r="K16"/>
  <c r="K17"/>
  <c r="K18"/>
  <c r="K20"/>
  <c r="K21"/>
  <c r="K22"/>
  <c r="K23"/>
  <c r="K24"/>
  <c r="K25"/>
  <c r="K26"/>
  <c r="K28"/>
  <c r="K29"/>
  <c r="K30"/>
  <c r="K31"/>
  <c r="K32"/>
  <c r="K33"/>
  <c r="K34"/>
  <c r="K35"/>
  <c r="K36"/>
  <c r="K27"/>
  <c r="K37"/>
  <c r="K38"/>
  <c r="K48"/>
  <c r="F18"/>
  <c r="F37"/>
  <c r="F38"/>
  <c r="F47"/>
  <c r="F48"/>
  <c r="G18"/>
  <c r="G37"/>
  <c r="G38"/>
  <c r="G47"/>
  <c r="G48"/>
  <c r="H18"/>
  <c r="H37"/>
  <c r="H38"/>
  <c r="H48"/>
  <c r="I18"/>
  <c r="I37"/>
  <c r="I38"/>
  <c r="I47"/>
  <c r="I48"/>
  <c r="L18"/>
  <c r="L37"/>
  <c r="L38"/>
  <c r="L47"/>
  <c r="L48"/>
  <c r="M18"/>
  <c r="M37"/>
  <c r="M38"/>
  <c r="M47"/>
  <c r="M48"/>
  <c r="N18"/>
  <c r="N37"/>
  <c r="N38"/>
  <c r="N47"/>
  <c r="N48"/>
  <c r="O18"/>
  <c r="O37"/>
  <c r="O38"/>
  <c r="O47"/>
  <c r="O48"/>
  <c r="P18"/>
  <c r="P37"/>
  <c r="P38"/>
  <c r="P47"/>
  <c r="P48"/>
  <c r="E18"/>
  <c r="E37"/>
  <c r="E38"/>
  <c r="E47"/>
  <c r="E48"/>
  <c r="D18"/>
  <c r="D37"/>
  <c r="D38"/>
  <c r="D47"/>
  <c r="D48"/>
  <c r="C8" i="33"/>
  <c r="D8"/>
  <c r="E8"/>
  <c r="F8"/>
  <c r="G8"/>
  <c r="H8"/>
  <c r="E12"/>
  <c r="F12"/>
  <c r="G12"/>
  <c r="H12"/>
  <c r="C20"/>
  <c r="D20"/>
  <c r="E20"/>
  <c r="F20"/>
  <c r="G20"/>
  <c r="H20"/>
  <c r="E22"/>
  <c r="F22"/>
  <c r="G22"/>
  <c r="H22"/>
  <c r="C26"/>
  <c r="D26"/>
  <c r="E26"/>
  <c r="F26"/>
  <c r="G26"/>
  <c r="H26"/>
  <c r="E27"/>
  <c r="F27"/>
  <c r="G27"/>
  <c r="H27"/>
  <c r="E28"/>
  <c r="F28"/>
  <c r="G28"/>
  <c r="H28"/>
  <c r="E32"/>
  <c r="F32"/>
  <c r="G32"/>
  <c r="H32"/>
  <c r="C34"/>
  <c r="E34"/>
  <c r="F34"/>
  <c r="G34"/>
  <c r="H34"/>
  <c r="C36"/>
  <c r="D36"/>
  <c r="E36"/>
  <c r="F36"/>
  <c r="G36"/>
  <c r="H36"/>
  <c r="G39" i="18"/>
  <c r="F39"/>
  <c r="E39"/>
  <c r="D39"/>
  <c r="C39"/>
  <c r="G38"/>
  <c r="F38"/>
  <c r="E38"/>
  <c r="D38"/>
  <c r="C38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G19"/>
  <c r="F19"/>
  <c r="E19"/>
  <c r="D19"/>
  <c r="C19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E6"/>
  <c r="F6"/>
  <c r="G6"/>
  <c r="D6"/>
  <c r="C6"/>
  <c r="C38" i="14"/>
  <c r="M38"/>
  <c r="D38"/>
  <c r="N38"/>
  <c r="E38"/>
  <c r="O38"/>
  <c r="F38"/>
  <c r="P38"/>
  <c r="G38"/>
  <c r="Q38"/>
  <c r="C39"/>
  <c r="M39"/>
  <c r="D39"/>
  <c r="N39"/>
  <c r="E39"/>
  <c r="O39"/>
  <c r="F39"/>
  <c r="P39"/>
  <c r="G39"/>
  <c r="Q39"/>
  <c r="C40"/>
  <c r="H40" i="13"/>
  <c r="M40" i="14"/>
  <c r="D40"/>
  <c r="I40" i="13"/>
  <c r="N40" i="14"/>
  <c r="E40"/>
  <c r="J40" i="13"/>
  <c r="O40" i="14"/>
  <c r="F40"/>
  <c r="K40" i="13"/>
  <c r="P40" i="14"/>
  <c r="G40"/>
  <c r="L40" i="13"/>
  <c r="Q40" i="14"/>
  <c r="C6"/>
  <c r="C7"/>
  <c r="C8"/>
  <c r="C9"/>
  <c r="C10"/>
  <c r="C11"/>
  <c r="C12"/>
  <c r="C13"/>
  <c r="C14"/>
  <c r="C15"/>
  <c r="C16"/>
  <c r="C17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42"/>
  <c r="H17" i="13"/>
  <c r="H36"/>
  <c r="H42"/>
  <c r="M42" i="14"/>
  <c r="D6"/>
  <c r="D7"/>
  <c r="D8"/>
  <c r="D9"/>
  <c r="D10"/>
  <c r="D11"/>
  <c r="D12"/>
  <c r="D13"/>
  <c r="D14"/>
  <c r="D15"/>
  <c r="D16"/>
  <c r="D17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42"/>
  <c r="I17" i="13"/>
  <c r="I36"/>
  <c r="I42"/>
  <c r="N42" i="14"/>
  <c r="E6"/>
  <c r="E7"/>
  <c r="E8"/>
  <c r="E9"/>
  <c r="E10"/>
  <c r="E11"/>
  <c r="E12"/>
  <c r="E13"/>
  <c r="E14"/>
  <c r="E15"/>
  <c r="E16"/>
  <c r="E17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42"/>
  <c r="J17" i="13"/>
  <c r="J36"/>
  <c r="J42"/>
  <c r="O42" i="14"/>
  <c r="F6"/>
  <c r="F7"/>
  <c r="F8"/>
  <c r="F9"/>
  <c r="F10"/>
  <c r="F11"/>
  <c r="F12"/>
  <c r="F13"/>
  <c r="F14"/>
  <c r="F15"/>
  <c r="F16"/>
  <c r="F1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42"/>
  <c r="K17" i="13"/>
  <c r="K36"/>
  <c r="K42"/>
  <c r="P42" i="14"/>
  <c r="G6"/>
  <c r="G7"/>
  <c r="G8"/>
  <c r="G9"/>
  <c r="G10"/>
  <c r="G11"/>
  <c r="G12"/>
  <c r="G13"/>
  <c r="G14"/>
  <c r="G15"/>
  <c r="G16"/>
  <c r="G1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42"/>
  <c r="L17" i="13"/>
  <c r="L36"/>
  <c r="L42"/>
  <c r="Q42" i="14"/>
  <c r="M28"/>
  <c r="N28"/>
  <c r="O28"/>
  <c r="P28"/>
  <c r="Q28"/>
  <c r="M29"/>
  <c r="N29"/>
  <c r="O29"/>
  <c r="P29"/>
  <c r="Q29"/>
  <c r="M30"/>
  <c r="N30"/>
  <c r="O30"/>
  <c r="P30"/>
  <c r="Q30"/>
  <c r="M31"/>
  <c r="N31"/>
  <c r="O31"/>
  <c r="P31"/>
  <c r="Q31"/>
  <c r="M32"/>
  <c r="N32"/>
  <c r="O32"/>
  <c r="P32"/>
  <c r="Q32"/>
  <c r="M33"/>
  <c r="N33"/>
  <c r="O33"/>
  <c r="P33"/>
  <c r="Q33"/>
  <c r="M34"/>
  <c r="N34"/>
  <c r="O34"/>
  <c r="P34"/>
  <c r="Q34"/>
  <c r="M35"/>
  <c r="N35"/>
  <c r="O35"/>
  <c r="P35"/>
  <c r="Q35"/>
  <c r="M36"/>
  <c r="N36"/>
  <c r="O36"/>
  <c r="P36"/>
  <c r="Q36"/>
  <c r="M20"/>
  <c r="N20"/>
  <c r="O20"/>
  <c r="P20"/>
  <c r="Q20"/>
  <c r="M21"/>
  <c r="N21"/>
  <c r="O21"/>
  <c r="P21"/>
  <c r="Q21"/>
  <c r="M22"/>
  <c r="N22"/>
  <c r="O22"/>
  <c r="P22"/>
  <c r="Q22"/>
  <c r="M23"/>
  <c r="N23"/>
  <c r="O23"/>
  <c r="P23"/>
  <c r="Q23"/>
  <c r="M24"/>
  <c r="N24"/>
  <c r="O24"/>
  <c r="P24"/>
  <c r="Q24"/>
  <c r="M25"/>
  <c r="N25"/>
  <c r="O25"/>
  <c r="P25"/>
  <c r="Q25"/>
  <c r="M26"/>
  <c r="N26"/>
  <c r="O26"/>
  <c r="P26"/>
  <c r="Q26"/>
  <c r="M27"/>
  <c r="N27"/>
  <c r="O27"/>
  <c r="P27"/>
  <c r="Q27"/>
  <c r="Q19"/>
  <c r="P19"/>
  <c r="O19"/>
  <c r="N19"/>
  <c r="M19"/>
  <c r="M7"/>
  <c r="N7"/>
  <c r="O7"/>
  <c r="P7"/>
  <c r="Q7"/>
  <c r="M8"/>
  <c r="N8"/>
  <c r="O8"/>
  <c r="P8"/>
  <c r="Q8"/>
  <c r="M9"/>
  <c r="N9"/>
  <c r="O9"/>
  <c r="P9"/>
  <c r="Q9"/>
  <c r="M10"/>
  <c r="N10"/>
  <c r="O10"/>
  <c r="P10"/>
  <c r="Q10"/>
  <c r="M11"/>
  <c r="N11"/>
  <c r="O11"/>
  <c r="P11"/>
  <c r="Q11"/>
  <c r="M12"/>
  <c r="N12"/>
  <c r="O12"/>
  <c r="P12"/>
  <c r="Q12"/>
  <c r="M13"/>
  <c r="N13"/>
  <c r="O13"/>
  <c r="P13"/>
  <c r="Q13"/>
  <c r="M14"/>
  <c r="N14"/>
  <c r="O14"/>
  <c r="P14"/>
  <c r="Q14"/>
  <c r="M15"/>
  <c r="N15"/>
  <c r="O15"/>
  <c r="P15"/>
  <c r="Q15"/>
  <c r="M16"/>
  <c r="N16"/>
  <c r="O16"/>
  <c r="P16"/>
  <c r="Q16"/>
  <c r="M17"/>
  <c r="N17"/>
  <c r="O17"/>
  <c r="P17"/>
  <c r="Q17"/>
  <c r="N6"/>
  <c r="O6"/>
  <c r="P6"/>
  <c r="Q6"/>
  <c r="M6"/>
  <c r="I39"/>
  <c r="J39"/>
  <c r="K39"/>
  <c r="L39"/>
  <c r="I40"/>
  <c r="J40"/>
  <c r="K40"/>
  <c r="L40"/>
  <c r="I17" i="12"/>
  <c r="I42"/>
  <c r="I42" i="14"/>
  <c r="J17" i="12"/>
  <c r="J42"/>
  <c r="J42" i="14"/>
  <c r="K17" i="12"/>
  <c r="K42"/>
  <c r="K42" i="14"/>
  <c r="L17" i="12"/>
  <c r="L42"/>
  <c r="L42" i="14"/>
  <c r="H40"/>
  <c r="H17" i="12"/>
  <c r="H42"/>
  <c r="H42" i="14"/>
  <c r="I36"/>
  <c r="J36"/>
  <c r="K36"/>
  <c r="L36"/>
  <c r="H36"/>
  <c r="I17"/>
  <c r="J17"/>
  <c r="K17"/>
  <c r="L17"/>
  <c r="H17"/>
  <c r="I38"/>
  <c r="J38"/>
  <c r="K38"/>
  <c r="L38"/>
  <c r="H39"/>
  <c r="H38"/>
  <c r="H31"/>
  <c r="I31"/>
  <c r="J31"/>
  <c r="K31"/>
  <c r="L31"/>
  <c r="H32"/>
  <c r="I32"/>
  <c r="J32"/>
  <c r="K32"/>
  <c r="L32"/>
  <c r="H33"/>
  <c r="I33"/>
  <c r="J33"/>
  <c r="K33"/>
  <c r="L33"/>
  <c r="H34"/>
  <c r="I34"/>
  <c r="J34"/>
  <c r="K34"/>
  <c r="L34"/>
  <c r="H35"/>
  <c r="I35"/>
  <c r="J35"/>
  <c r="K35"/>
  <c r="L35"/>
  <c r="H20"/>
  <c r="I20"/>
  <c r="J20"/>
  <c r="K20"/>
  <c r="L20"/>
  <c r="H21"/>
  <c r="I21"/>
  <c r="J21"/>
  <c r="K21"/>
  <c r="L21"/>
  <c r="H22"/>
  <c r="I22"/>
  <c r="J22"/>
  <c r="K22"/>
  <c r="L22"/>
  <c r="H23"/>
  <c r="I23"/>
  <c r="J23"/>
  <c r="K23"/>
  <c r="L23"/>
  <c r="H24"/>
  <c r="I24"/>
  <c r="J24"/>
  <c r="K24"/>
  <c r="L24"/>
  <c r="H25"/>
  <c r="I25"/>
  <c r="J25"/>
  <c r="K25"/>
  <c r="L25"/>
  <c r="H26"/>
  <c r="I26"/>
  <c r="J26"/>
  <c r="K26"/>
  <c r="L26"/>
  <c r="H27"/>
  <c r="I27"/>
  <c r="J27"/>
  <c r="K27"/>
  <c r="L27"/>
  <c r="H28"/>
  <c r="I28"/>
  <c r="J28"/>
  <c r="K28"/>
  <c r="L28"/>
  <c r="H29"/>
  <c r="I29"/>
  <c r="J29"/>
  <c r="K29"/>
  <c r="L29"/>
  <c r="H30"/>
  <c r="I30"/>
  <c r="J30"/>
  <c r="K30"/>
  <c r="L30"/>
  <c r="I19"/>
  <c r="J19"/>
  <c r="K19"/>
  <c r="L19"/>
  <c r="H19"/>
  <c r="H7"/>
  <c r="I7"/>
  <c r="J7"/>
  <c r="K7"/>
  <c r="L7"/>
  <c r="H8"/>
  <c r="I8"/>
  <c r="J8"/>
  <c r="K8"/>
  <c r="L8"/>
  <c r="H9"/>
  <c r="I9"/>
  <c r="J9"/>
  <c r="K9"/>
  <c r="L9"/>
  <c r="H10"/>
  <c r="I10"/>
  <c r="J10"/>
  <c r="K10"/>
  <c r="L10"/>
  <c r="H11"/>
  <c r="I11"/>
  <c r="J11"/>
  <c r="K11"/>
  <c r="L11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16"/>
  <c r="I16"/>
  <c r="J16"/>
  <c r="K16"/>
  <c r="L16"/>
  <c r="I6"/>
  <c r="J6"/>
  <c r="K6"/>
  <c r="L6"/>
  <c r="H6"/>
  <c r="D38" i="12"/>
  <c r="E38"/>
  <c r="F38"/>
  <c r="G38"/>
  <c r="D39"/>
  <c r="E39"/>
  <c r="F39"/>
  <c r="G39"/>
  <c r="C39"/>
  <c r="C38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D19"/>
  <c r="E19"/>
  <c r="F19"/>
  <c r="G19"/>
  <c r="C19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D6"/>
  <c r="E6"/>
  <c r="F6"/>
  <c r="G6"/>
  <c r="C6"/>
  <c r="Q38" i="11"/>
  <c r="Q39"/>
  <c r="L40"/>
  <c r="G40"/>
  <c r="Q40"/>
  <c r="L17"/>
  <c r="L36"/>
  <c r="L42"/>
  <c r="G17"/>
  <c r="G36"/>
  <c r="G42"/>
  <c r="Q42"/>
  <c r="D38" i="15"/>
  <c r="E38"/>
  <c r="F38"/>
  <c r="G38"/>
  <c r="D39"/>
  <c r="E39"/>
  <c r="F39"/>
  <c r="G39"/>
  <c r="C39"/>
  <c r="C38"/>
  <c r="C33"/>
  <c r="D33"/>
  <c r="E33"/>
  <c r="F33"/>
  <c r="G33"/>
  <c r="C34"/>
  <c r="D34"/>
  <c r="E34"/>
  <c r="F34"/>
  <c r="G34"/>
  <c r="C35"/>
  <c r="D35"/>
  <c r="E35"/>
  <c r="F35"/>
  <c r="G35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D19"/>
  <c r="E19"/>
  <c r="F19"/>
  <c r="G19"/>
  <c r="C19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D6"/>
  <c r="E6"/>
  <c r="F6"/>
  <c r="G6"/>
  <c r="C6"/>
  <c r="G39" i="9"/>
  <c r="F39"/>
  <c r="E39"/>
  <c r="D39"/>
  <c r="C39"/>
  <c r="G38"/>
  <c r="F38"/>
  <c r="E38"/>
  <c r="D38"/>
  <c r="C38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D6"/>
  <c r="E6"/>
  <c r="F6"/>
  <c r="G6"/>
  <c r="C6"/>
  <c r="G39" i="8"/>
  <c r="G39" i="7"/>
  <c r="F39" i="8"/>
  <c r="F39" i="7"/>
  <c r="E39" i="8"/>
  <c r="E39" i="7"/>
  <c r="D39" i="8"/>
  <c r="D39" i="7"/>
  <c r="C39" i="8"/>
  <c r="C39" i="7"/>
  <c r="G38" i="8"/>
  <c r="G38" i="7"/>
  <c r="F38" i="8"/>
  <c r="F38" i="7"/>
  <c r="E38" i="8"/>
  <c r="E38" i="7"/>
  <c r="D38" i="8"/>
  <c r="D38" i="7"/>
  <c r="C38" i="8"/>
  <c r="C38" i="7"/>
  <c r="G35" i="8"/>
  <c r="G35" i="7"/>
  <c r="F35" i="8"/>
  <c r="F35" i="7"/>
  <c r="E35" i="8"/>
  <c r="E35" i="7"/>
  <c r="D35" i="8"/>
  <c r="D35" i="7"/>
  <c r="C35" i="8"/>
  <c r="C35" i="7"/>
  <c r="G34" i="8"/>
  <c r="G34" i="7"/>
  <c r="F34" i="8"/>
  <c r="F34" i="7"/>
  <c r="E34" i="8"/>
  <c r="E34" i="7"/>
  <c r="D34" i="8"/>
  <c r="D34" i="7"/>
  <c r="C34" i="8"/>
  <c r="C34" i="7"/>
  <c r="G33" i="8"/>
  <c r="G33" i="7"/>
  <c r="F33" i="8"/>
  <c r="F33" i="7"/>
  <c r="E33" i="8"/>
  <c r="E33" i="7"/>
  <c r="D33" i="8"/>
  <c r="D33" i="7"/>
  <c r="C33" i="8"/>
  <c r="C33" i="7"/>
  <c r="G32" i="8"/>
  <c r="G32" i="7"/>
  <c r="F32" i="8"/>
  <c r="F32" i="7"/>
  <c r="E32" i="8"/>
  <c r="E32" i="7"/>
  <c r="D32" i="8"/>
  <c r="D32" i="7"/>
  <c r="C32" i="8"/>
  <c r="C32" i="7"/>
  <c r="G31" i="8"/>
  <c r="G31" i="7"/>
  <c r="F31" i="8"/>
  <c r="F31" i="7"/>
  <c r="E31" i="8"/>
  <c r="E31" i="7"/>
  <c r="D31" i="8"/>
  <c r="D31" i="7"/>
  <c r="C31" i="8"/>
  <c r="C31" i="7"/>
  <c r="G30" i="8"/>
  <c r="G30" i="7"/>
  <c r="F30" i="8"/>
  <c r="F30" i="7"/>
  <c r="E30" i="8"/>
  <c r="E30" i="7"/>
  <c r="D30" i="8"/>
  <c r="D30" i="7"/>
  <c r="C30" i="8"/>
  <c r="C30" i="7"/>
  <c r="G29" i="8"/>
  <c r="G29" i="7"/>
  <c r="F29" i="8"/>
  <c r="F29" i="7"/>
  <c r="E29" i="8"/>
  <c r="E29" i="7"/>
  <c r="D29" i="8"/>
  <c r="D29" i="7"/>
  <c r="C29" i="8"/>
  <c r="C29" i="7"/>
  <c r="G28" i="8"/>
  <c r="G28" i="7"/>
  <c r="F28" i="8"/>
  <c r="F28" i="7"/>
  <c r="E28" i="8"/>
  <c r="E28" i="7"/>
  <c r="D28" i="8"/>
  <c r="D28" i="7"/>
  <c r="C28" i="8"/>
  <c r="C28" i="7"/>
  <c r="G27" i="8"/>
  <c r="G27" i="7"/>
  <c r="F27" i="8"/>
  <c r="F27" i="7"/>
  <c r="E27" i="8"/>
  <c r="E27" i="7"/>
  <c r="D27" i="8"/>
  <c r="D27" i="7"/>
  <c r="C27" i="8"/>
  <c r="C27" i="7"/>
  <c r="G26" i="8"/>
  <c r="G26" i="7"/>
  <c r="F26" i="8"/>
  <c r="F26" i="7"/>
  <c r="E26" i="8"/>
  <c r="E26" i="7"/>
  <c r="D26" i="8"/>
  <c r="D26" i="7"/>
  <c r="C26" i="8"/>
  <c r="C26" i="7"/>
  <c r="G25" i="8"/>
  <c r="G25" i="7"/>
  <c r="F25" i="8"/>
  <c r="F25" i="7"/>
  <c r="E25" i="8"/>
  <c r="E25" i="7"/>
  <c r="D25" i="8"/>
  <c r="D25" i="7"/>
  <c r="C25" i="8"/>
  <c r="C25" i="7"/>
  <c r="G24" i="8"/>
  <c r="G24" i="7"/>
  <c r="F24" i="8"/>
  <c r="F24" i="7"/>
  <c r="E24" i="8"/>
  <c r="E24" i="7"/>
  <c r="D24" i="8"/>
  <c r="D24" i="7"/>
  <c r="C24" i="8"/>
  <c r="C24" i="7"/>
  <c r="G23" i="8"/>
  <c r="G23" i="7"/>
  <c r="F23" i="8"/>
  <c r="F23" i="7"/>
  <c r="E23" i="8"/>
  <c r="E23" i="7"/>
  <c r="D23" i="8"/>
  <c r="D23" i="7"/>
  <c r="C23" i="8"/>
  <c r="C23" i="7"/>
  <c r="G22" i="8"/>
  <c r="G22" i="7"/>
  <c r="F22" i="8"/>
  <c r="F22" i="7"/>
  <c r="E22" i="8"/>
  <c r="E22" i="7"/>
  <c r="D22" i="8"/>
  <c r="D22" i="7"/>
  <c r="C22" i="8"/>
  <c r="C22" i="7"/>
  <c r="G21" i="8"/>
  <c r="G21" i="7"/>
  <c r="F21" i="8"/>
  <c r="F21" i="7"/>
  <c r="E21" i="8"/>
  <c r="E21" i="7"/>
  <c r="D21" i="8"/>
  <c r="D21" i="7"/>
  <c r="C21" i="8"/>
  <c r="C21" i="7"/>
  <c r="G20" i="8"/>
  <c r="G20" i="7"/>
  <c r="F20" i="8"/>
  <c r="F20" i="7"/>
  <c r="E20" i="8"/>
  <c r="E20" i="7"/>
  <c r="D20" i="8"/>
  <c r="D20" i="7"/>
  <c r="C20" i="8"/>
  <c r="C20" i="7"/>
  <c r="G19" i="8"/>
  <c r="G19" i="7"/>
  <c r="F19" i="8"/>
  <c r="F19" i="7"/>
  <c r="E19" i="8"/>
  <c r="E19" i="7"/>
  <c r="D19" i="8"/>
  <c r="D19" i="7"/>
  <c r="C19" i="8"/>
  <c r="C19" i="7"/>
  <c r="C7" i="8"/>
  <c r="C7" i="7"/>
  <c r="D7" i="8"/>
  <c r="D7" i="7"/>
  <c r="E7" i="8"/>
  <c r="E7" i="7"/>
  <c r="F7" i="8"/>
  <c r="F7" i="7"/>
  <c r="G7" i="8"/>
  <c r="G7" i="7"/>
  <c r="C8" i="8"/>
  <c r="C8" i="7"/>
  <c r="D8" i="8"/>
  <c r="D8" i="7"/>
  <c r="E8" i="8"/>
  <c r="E8" i="7"/>
  <c r="F8" i="8"/>
  <c r="F8" i="7"/>
  <c r="G8" i="8"/>
  <c r="G8" i="7"/>
  <c r="C9" i="8"/>
  <c r="C9" i="7"/>
  <c r="D9" i="8"/>
  <c r="D9" i="7"/>
  <c r="E9" i="8"/>
  <c r="E9" i="7"/>
  <c r="F9" i="8"/>
  <c r="F9" i="7"/>
  <c r="G9" i="8"/>
  <c r="G9" i="7"/>
  <c r="C10" i="8"/>
  <c r="C10" i="7"/>
  <c r="D10" i="8"/>
  <c r="D10" i="7"/>
  <c r="E10" i="8"/>
  <c r="E10" i="7"/>
  <c r="F10" i="8"/>
  <c r="F10" i="7"/>
  <c r="G10" i="8"/>
  <c r="G10" i="7"/>
  <c r="C11" i="8"/>
  <c r="C11" i="7"/>
  <c r="D11" i="8"/>
  <c r="D11" i="7"/>
  <c r="E11" i="8"/>
  <c r="E11" i="7"/>
  <c r="F11" i="8"/>
  <c r="F11" i="7"/>
  <c r="G11" i="8"/>
  <c r="G11" i="7"/>
  <c r="C12" i="8"/>
  <c r="C12" i="7"/>
  <c r="D12" i="8"/>
  <c r="D12" i="7"/>
  <c r="E12" i="8"/>
  <c r="E12" i="7"/>
  <c r="F12" i="8"/>
  <c r="F12" i="7"/>
  <c r="G12" i="8"/>
  <c r="G12" i="7"/>
  <c r="C13" i="8"/>
  <c r="C13" i="7"/>
  <c r="D13" i="8"/>
  <c r="D13" i="7"/>
  <c r="E13" i="8"/>
  <c r="E13" i="7"/>
  <c r="F13" i="8"/>
  <c r="F13" i="7"/>
  <c r="G13" i="8"/>
  <c r="G13" i="7"/>
  <c r="C14" i="8"/>
  <c r="C14" i="7"/>
  <c r="D14" i="8"/>
  <c r="D14" i="7"/>
  <c r="E14" i="8"/>
  <c r="E14" i="7"/>
  <c r="F14" i="8"/>
  <c r="F14" i="7"/>
  <c r="G14" i="8"/>
  <c r="G14" i="7"/>
  <c r="C15" i="8"/>
  <c r="C15" i="7"/>
  <c r="D15" i="8"/>
  <c r="D15" i="7"/>
  <c r="E15" i="8"/>
  <c r="E15" i="7"/>
  <c r="F15" i="8"/>
  <c r="F15" i="7"/>
  <c r="G15" i="8"/>
  <c r="G15" i="7"/>
  <c r="C16" i="8"/>
  <c r="C16" i="7"/>
  <c r="D16" i="8"/>
  <c r="D16" i="7"/>
  <c r="E16" i="8"/>
  <c r="E16" i="7"/>
  <c r="F16" i="8"/>
  <c r="F16" i="7"/>
  <c r="G16" i="8"/>
  <c r="G16" i="7"/>
  <c r="D6" i="8"/>
  <c r="D6" i="7"/>
  <c r="E6" i="8"/>
  <c r="E6" i="7"/>
  <c r="F6" i="8"/>
  <c r="F6" i="7"/>
  <c r="G6" i="8"/>
  <c r="G6" i="7"/>
  <c r="C6" i="8"/>
  <c r="C6" i="7"/>
  <c r="H17" i="8"/>
  <c r="I17"/>
  <c r="J17"/>
  <c r="K17"/>
  <c r="L17"/>
  <c r="I38" i="7"/>
  <c r="J38"/>
  <c r="K38"/>
  <c r="L38"/>
  <c r="I39"/>
  <c r="J39"/>
  <c r="K39"/>
  <c r="L39"/>
  <c r="H39"/>
  <c r="H38"/>
  <c r="H32"/>
  <c r="I32"/>
  <c r="J32"/>
  <c r="K32"/>
  <c r="L32"/>
  <c r="H33"/>
  <c r="I33"/>
  <c r="J33"/>
  <c r="K33"/>
  <c r="L33"/>
  <c r="H34"/>
  <c r="I34"/>
  <c r="J34"/>
  <c r="K34"/>
  <c r="L34"/>
  <c r="H35"/>
  <c r="I35"/>
  <c r="J35"/>
  <c r="K35"/>
  <c r="L35"/>
  <c r="H20"/>
  <c r="I20"/>
  <c r="J20"/>
  <c r="K20"/>
  <c r="L20"/>
  <c r="H21"/>
  <c r="I21"/>
  <c r="J21"/>
  <c r="K21"/>
  <c r="L21"/>
  <c r="H22"/>
  <c r="I22"/>
  <c r="J22"/>
  <c r="K22"/>
  <c r="L22"/>
  <c r="H23"/>
  <c r="I23"/>
  <c r="J23"/>
  <c r="K23"/>
  <c r="L23"/>
  <c r="H24"/>
  <c r="I24"/>
  <c r="J24"/>
  <c r="K24"/>
  <c r="L24"/>
  <c r="H25"/>
  <c r="I25"/>
  <c r="J25"/>
  <c r="K25"/>
  <c r="L25"/>
  <c r="H26"/>
  <c r="I26"/>
  <c r="J26"/>
  <c r="K26"/>
  <c r="L26"/>
  <c r="H27"/>
  <c r="I27"/>
  <c r="J27"/>
  <c r="K27"/>
  <c r="L27"/>
  <c r="H28"/>
  <c r="I28"/>
  <c r="J28"/>
  <c r="K28"/>
  <c r="L28"/>
  <c r="H29"/>
  <c r="I29"/>
  <c r="J29"/>
  <c r="K29"/>
  <c r="L29"/>
  <c r="H30"/>
  <c r="I30"/>
  <c r="J30"/>
  <c r="K30"/>
  <c r="L30"/>
  <c r="H31"/>
  <c r="I31"/>
  <c r="J31"/>
  <c r="K31"/>
  <c r="L31"/>
  <c r="I19"/>
  <c r="J19"/>
  <c r="K19"/>
  <c r="L19"/>
  <c r="H19"/>
  <c r="H7"/>
  <c r="I7"/>
  <c r="J7"/>
  <c r="K7"/>
  <c r="L7"/>
  <c r="H8"/>
  <c r="I8"/>
  <c r="J8"/>
  <c r="K8"/>
  <c r="L8"/>
  <c r="H9"/>
  <c r="I9"/>
  <c r="J9"/>
  <c r="K9"/>
  <c r="L9"/>
  <c r="H10"/>
  <c r="I10"/>
  <c r="J10"/>
  <c r="K10"/>
  <c r="L10"/>
  <c r="H11"/>
  <c r="I11"/>
  <c r="J11"/>
  <c r="K11"/>
  <c r="L11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16"/>
  <c r="I16"/>
  <c r="J16"/>
  <c r="K16"/>
  <c r="L16"/>
  <c r="I6"/>
  <c r="J6"/>
  <c r="K6"/>
  <c r="L6"/>
  <c r="H6"/>
  <c r="O19" i="10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F36"/>
  <c r="P36"/>
  <c r="G36"/>
  <c r="Q36"/>
  <c r="O38"/>
  <c r="P38"/>
  <c r="Q38"/>
  <c r="O39"/>
  <c r="P39"/>
  <c r="Q39"/>
  <c r="O40"/>
  <c r="P40"/>
  <c r="Q40"/>
  <c r="E17"/>
  <c r="E42"/>
  <c r="O42"/>
  <c r="F17"/>
  <c r="F42"/>
  <c r="P42"/>
  <c r="G17"/>
  <c r="G42"/>
  <c r="Q42"/>
  <c r="J42"/>
  <c r="K42"/>
  <c r="L42"/>
  <c r="J40"/>
  <c r="K40"/>
  <c r="L40"/>
  <c r="J36"/>
  <c r="K36"/>
  <c r="L36"/>
  <c r="J17"/>
  <c r="K17"/>
  <c r="L17"/>
  <c r="M15"/>
  <c r="N15"/>
  <c r="O17"/>
  <c r="P17"/>
  <c r="Q17"/>
  <c r="O6"/>
  <c r="P6"/>
  <c r="Q6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N25" i="7"/>
  <c r="O25"/>
  <c r="P25"/>
  <c r="Q25"/>
  <c r="N17" i="19"/>
  <c r="N36"/>
  <c r="N40"/>
  <c r="N42"/>
  <c r="O17"/>
  <c r="O36"/>
  <c r="O40"/>
  <c r="O42"/>
  <c r="M17"/>
  <c r="M36"/>
  <c r="M40"/>
  <c r="M42"/>
  <c r="I19" i="32"/>
  <c r="I20"/>
  <c r="I21"/>
  <c r="I22"/>
  <c r="I23"/>
  <c r="I24"/>
  <c r="I25"/>
  <c r="I26"/>
  <c r="I27"/>
  <c r="I28"/>
  <c r="I29"/>
  <c r="I30"/>
  <c r="I31"/>
  <c r="I32"/>
  <c r="I33"/>
  <c r="I34"/>
  <c r="I35"/>
  <c r="I36"/>
  <c r="I6"/>
  <c r="I7"/>
  <c r="I8"/>
  <c r="I9"/>
  <c r="I10"/>
  <c r="I11"/>
  <c r="I12"/>
  <c r="I13"/>
  <c r="I14"/>
  <c r="I15"/>
  <c r="I16"/>
  <c r="I17"/>
  <c r="I39"/>
  <c r="I40"/>
  <c r="I41"/>
  <c r="I42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6"/>
  <c r="J7"/>
  <c r="J8"/>
  <c r="J9"/>
  <c r="J10"/>
  <c r="J11"/>
  <c r="J12"/>
  <c r="J13"/>
  <c r="J14"/>
  <c r="J15"/>
  <c r="J16"/>
  <c r="J17"/>
  <c r="J39"/>
  <c r="J40"/>
  <c r="J41"/>
  <c r="J42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6"/>
  <c r="K7"/>
  <c r="K8"/>
  <c r="K9"/>
  <c r="K10"/>
  <c r="K11"/>
  <c r="K12"/>
  <c r="K13"/>
  <c r="K14"/>
  <c r="K15"/>
  <c r="K16"/>
  <c r="K17"/>
  <c r="K39"/>
  <c r="K40"/>
  <c r="K41"/>
  <c r="K42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6"/>
  <c r="L7"/>
  <c r="L8"/>
  <c r="L9"/>
  <c r="L10"/>
  <c r="L11"/>
  <c r="L12"/>
  <c r="L13"/>
  <c r="L14"/>
  <c r="L15"/>
  <c r="L16"/>
  <c r="L17"/>
  <c r="L39"/>
  <c r="L40"/>
  <c r="L41"/>
  <c r="L42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6"/>
  <c r="M7"/>
  <c r="M8"/>
  <c r="M9"/>
  <c r="M10"/>
  <c r="M11"/>
  <c r="M12"/>
  <c r="M13"/>
  <c r="M14"/>
  <c r="M15"/>
  <c r="M16"/>
  <c r="M17"/>
  <c r="M39"/>
  <c r="M40"/>
  <c r="M41"/>
  <c r="M42"/>
  <c r="N42"/>
  <c r="N41"/>
  <c r="N40"/>
  <c r="N39"/>
  <c r="I37"/>
  <c r="J37"/>
  <c r="K37"/>
  <c r="L37"/>
  <c r="M37"/>
  <c r="N37"/>
  <c r="N17"/>
  <c r="N16"/>
  <c r="N15"/>
  <c r="N14"/>
  <c r="N13"/>
  <c r="N12"/>
  <c r="N11"/>
  <c r="N10"/>
  <c r="N9"/>
  <c r="N8"/>
  <c r="N7"/>
  <c r="N6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C36"/>
  <c r="C17"/>
  <c r="C41"/>
  <c r="C42"/>
  <c r="D36"/>
  <c r="D17"/>
  <c r="D41"/>
  <c r="D42"/>
  <c r="E36"/>
  <c r="E17"/>
  <c r="E41"/>
  <c r="E42"/>
  <c r="F36"/>
  <c r="F17"/>
  <c r="F41"/>
  <c r="F42"/>
  <c r="G36"/>
  <c r="G17"/>
  <c r="G41"/>
  <c r="G42"/>
  <c r="H42"/>
  <c r="H41"/>
  <c r="H40"/>
  <c r="H39"/>
  <c r="C37"/>
  <c r="D37"/>
  <c r="E37"/>
  <c r="F37"/>
  <c r="G37"/>
  <c r="H37"/>
  <c r="H17"/>
  <c r="H16"/>
  <c r="H15"/>
  <c r="H14"/>
  <c r="H13"/>
  <c r="H12"/>
  <c r="H11"/>
  <c r="H10"/>
  <c r="H9"/>
  <c r="H8"/>
  <c r="H7"/>
  <c r="H6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D26" i="27"/>
  <c r="D36"/>
  <c r="D17"/>
  <c r="D41"/>
  <c r="D42"/>
  <c r="C36" i="26"/>
  <c r="C17"/>
  <c r="C37"/>
  <c r="C41"/>
  <c r="C42"/>
  <c r="I42" i="31"/>
  <c r="E26" i="27"/>
  <c r="E36"/>
  <c r="E17"/>
  <c r="E41"/>
  <c r="E42"/>
  <c r="D36" i="26"/>
  <c r="D17"/>
  <c r="D37"/>
  <c r="D41"/>
  <c r="D42"/>
  <c r="J42" i="31"/>
  <c r="F36" i="27"/>
  <c r="F17"/>
  <c r="F41"/>
  <c r="F42"/>
  <c r="E36" i="26"/>
  <c r="E17"/>
  <c r="E37"/>
  <c r="E41"/>
  <c r="E42"/>
  <c r="K42" i="31"/>
  <c r="G36" i="27"/>
  <c r="G17"/>
  <c r="G41"/>
  <c r="G42"/>
  <c r="F36" i="26"/>
  <c r="F17"/>
  <c r="F37"/>
  <c r="F41"/>
  <c r="F42"/>
  <c r="L42" i="31"/>
  <c r="H36" i="27"/>
  <c r="H17"/>
  <c r="H41"/>
  <c r="H42"/>
  <c r="G36" i="26"/>
  <c r="G17"/>
  <c r="G37"/>
  <c r="G41"/>
  <c r="G42"/>
  <c r="M42" i="31"/>
  <c r="N42"/>
  <c r="I41"/>
  <c r="J41"/>
  <c r="K41"/>
  <c r="L41"/>
  <c r="M41"/>
  <c r="N41"/>
  <c r="I40"/>
  <c r="J40"/>
  <c r="K40"/>
  <c r="L40"/>
  <c r="M40"/>
  <c r="N40"/>
  <c r="I39"/>
  <c r="J39"/>
  <c r="K39"/>
  <c r="L39"/>
  <c r="M39"/>
  <c r="N39"/>
  <c r="D37" i="27"/>
  <c r="I37" i="31"/>
  <c r="E37" i="27"/>
  <c r="J37" i="31"/>
  <c r="F37" i="27"/>
  <c r="K37" i="31"/>
  <c r="G37" i="27"/>
  <c r="L37" i="31"/>
  <c r="H37" i="27"/>
  <c r="M37" i="31"/>
  <c r="N37"/>
  <c r="I17"/>
  <c r="J17"/>
  <c r="K17"/>
  <c r="L17"/>
  <c r="M17"/>
  <c r="N17"/>
  <c r="I16"/>
  <c r="J16"/>
  <c r="K16"/>
  <c r="L16"/>
  <c r="M16"/>
  <c r="N16"/>
  <c r="I15"/>
  <c r="J15"/>
  <c r="K15"/>
  <c r="L15"/>
  <c r="M15"/>
  <c r="N15"/>
  <c r="I14"/>
  <c r="J14"/>
  <c r="K14"/>
  <c r="L14"/>
  <c r="M14"/>
  <c r="N14"/>
  <c r="I13"/>
  <c r="J13"/>
  <c r="K13"/>
  <c r="L13"/>
  <c r="M13"/>
  <c r="N13"/>
  <c r="I12"/>
  <c r="J12"/>
  <c r="K12"/>
  <c r="L12"/>
  <c r="M12"/>
  <c r="N12"/>
  <c r="I11"/>
  <c r="J11"/>
  <c r="K11"/>
  <c r="L11"/>
  <c r="M11"/>
  <c r="N11"/>
  <c r="I10"/>
  <c r="J10"/>
  <c r="K10"/>
  <c r="L10"/>
  <c r="M10"/>
  <c r="N10"/>
  <c r="I9"/>
  <c r="J9"/>
  <c r="K9"/>
  <c r="L9"/>
  <c r="M9"/>
  <c r="N9"/>
  <c r="I8"/>
  <c r="J8"/>
  <c r="K8"/>
  <c r="L8"/>
  <c r="M8"/>
  <c r="N8"/>
  <c r="I7"/>
  <c r="J7"/>
  <c r="K7"/>
  <c r="L7"/>
  <c r="M7"/>
  <c r="N7"/>
  <c r="I6"/>
  <c r="J6"/>
  <c r="K6"/>
  <c r="L6"/>
  <c r="M6"/>
  <c r="N6"/>
  <c r="I36"/>
  <c r="J36"/>
  <c r="K36"/>
  <c r="L36"/>
  <c r="M36"/>
  <c r="N36"/>
  <c r="I35"/>
  <c r="J35"/>
  <c r="K35"/>
  <c r="L35"/>
  <c r="M35"/>
  <c r="N35"/>
  <c r="I34"/>
  <c r="J34"/>
  <c r="K34"/>
  <c r="L34"/>
  <c r="M34"/>
  <c r="N34"/>
  <c r="I33"/>
  <c r="J33"/>
  <c r="K33"/>
  <c r="L33"/>
  <c r="M33"/>
  <c r="N33"/>
  <c r="I32"/>
  <c r="J32"/>
  <c r="K32"/>
  <c r="L32"/>
  <c r="M32"/>
  <c r="N32"/>
  <c r="I31"/>
  <c r="J31"/>
  <c r="K31"/>
  <c r="L31"/>
  <c r="M31"/>
  <c r="N31"/>
  <c r="I30"/>
  <c r="J30"/>
  <c r="K30"/>
  <c r="L30"/>
  <c r="M30"/>
  <c r="N30"/>
  <c r="I29"/>
  <c r="J29"/>
  <c r="K29"/>
  <c r="L29"/>
  <c r="M29"/>
  <c r="N29"/>
  <c r="I28"/>
  <c r="J28"/>
  <c r="K28"/>
  <c r="L28"/>
  <c r="M28"/>
  <c r="N28"/>
  <c r="I27"/>
  <c r="J27"/>
  <c r="K27"/>
  <c r="L27"/>
  <c r="M27"/>
  <c r="N27"/>
  <c r="I26"/>
  <c r="J26"/>
  <c r="K26"/>
  <c r="L26"/>
  <c r="M26"/>
  <c r="N26"/>
  <c r="I25"/>
  <c r="J25"/>
  <c r="K25"/>
  <c r="L25"/>
  <c r="M25"/>
  <c r="N25"/>
  <c r="I24"/>
  <c r="J24"/>
  <c r="K24"/>
  <c r="L24"/>
  <c r="M24"/>
  <c r="N24"/>
  <c r="I23"/>
  <c r="J23"/>
  <c r="K23"/>
  <c r="L23"/>
  <c r="M23"/>
  <c r="N23"/>
  <c r="I22"/>
  <c r="J22"/>
  <c r="K22"/>
  <c r="L22"/>
  <c r="M22"/>
  <c r="N22"/>
  <c r="I21"/>
  <c r="J21"/>
  <c r="K21"/>
  <c r="L21"/>
  <c r="M21"/>
  <c r="N21"/>
  <c r="I20"/>
  <c r="J20"/>
  <c r="K20"/>
  <c r="L20"/>
  <c r="M20"/>
  <c r="N20"/>
  <c r="I19"/>
  <c r="J19"/>
  <c r="K19"/>
  <c r="L19"/>
  <c r="M19"/>
  <c r="N19"/>
  <c r="C42"/>
  <c r="D42"/>
  <c r="E42"/>
  <c r="F42"/>
  <c r="G42"/>
  <c r="H42"/>
  <c r="C41"/>
  <c r="D41"/>
  <c r="E41"/>
  <c r="F41"/>
  <c r="G41"/>
  <c r="H41"/>
  <c r="C40"/>
  <c r="D40"/>
  <c r="E40"/>
  <c r="F40"/>
  <c r="G40"/>
  <c r="H40"/>
  <c r="C39"/>
  <c r="D39"/>
  <c r="E39"/>
  <c r="F39"/>
  <c r="G39"/>
  <c r="H39"/>
  <c r="C37"/>
  <c r="D37"/>
  <c r="E37"/>
  <c r="F37"/>
  <c r="G37"/>
  <c r="H37"/>
  <c r="C17"/>
  <c r="D17"/>
  <c r="E17"/>
  <c r="F17"/>
  <c r="G17"/>
  <c r="H17"/>
  <c r="C16"/>
  <c r="D16"/>
  <c r="E16"/>
  <c r="F16"/>
  <c r="G16"/>
  <c r="H16"/>
  <c r="C15"/>
  <c r="D15"/>
  <c r="E15"/>
  <c r="F15"/>
  <c r="G15"/>
  <c r="H15"/>
  <c r="C14"/>
  <c r="D14"/>
  <c r="E14"/>
  <c r="F14"/>
  <c r="G14"/>
  <c r="H14"/>
  <c r="C13"/>
  <c r="D13"/>
  <c r="E13"/>
  <c r="F13"/>
  <c r="G13"/>
  <c r="H13"/>
  <c r="C12"/>
  <c r="D12"/>
  <c r="E12"/>
  <c r="F12"/>
  <c r="G12"/>
  <c r="H12"/>
  <c r="C11"/>
  <c r="D11"/>
  <c r="E11"/>
  <c r="F11"/>
  <c r="G11"/>
  <c r="H11"/>
  <c r="C10"/>
  <c r="D10"/>
  <c r="E10"/>
  <c r="F10"/>
  <c r="G10"/>
  <c r="H10"/>
  <c r="C9"/>
  <c r="D9"/>
  <c r="E9"/>
  <c r="F9"/>
  <c r="G9"/>
  <c r="H9"/>
  <c r="C8"/>
  <c r="D8"/>
  <c r="E8"/>
  <c r="F8"/>
  <c r="G8"/>
  <c r="H8"/>
  <c r="C7"/>
  <c r="D7"/>
  <c r="E7"/>
  <c r="F7"/>
  <c r="G7"/>
  <c r="H7"/>
  <c r="C6"/>
  <c r="D6"/>
  <c r="E6"/>
  <c r="F6"/>
  <c r="G6"/>
  <c r="H6"/>
  <c r="C36"/>
  <c r="D36"/>
  <c r="E36"/>
  <c r="F36"/>
  <c r="G36"/>
  <c r="H36"/>
  <c r="C35"/>
  <c r="D35"/>
  <c r="E35"/>
  <c r="F35"/>
  <c r="G35"/>
  <c r="H35"/>
  <c r="C34"/>
  <c r="D34"/>
  <c r="E34"/>
  <c r="F34"/>
  <c r="G34"/>
  <c r="H34"/>
  <c r="C33"/>
  <c r="D33"/>
  <c r="E33"/>
  <c r="F33"/>
  <c r="G33"/>
  <c r="H33"/>
  <c r="C32"/>
  <c r="D32"/>
  <c r="E32"/>
  <c r="F32"/>
  <c r="G32"/>
  <c r="H32"/>
  <c r="C31"/>
  <c r="D31"/>
  <c r="E31"/>
  <c r="F31"/>
  <c r="G31"/>
  <c r="H31"/>
  <c r="C30"/>
  <c r="D30"/>
  <c r="E30"/>
  <c r="F30"/>
  <c r="G30"/>
  <c r="H30"/>
  <c r="C29"/>
  <c r="D29"/>
  <c r="E29"/>
  <c r="F29"/>
  <c r="G29"/>
  <c r="H29"/>
  <c r="C28"/>
  <c r="D28"/>
  <c r="E28"/>
  <c r="F28"/>
  <c r="G28"/>
  <c r="H28"/>
  <c r="C27"/>
  <c r="D27"/>
  <c r="E27"/>
  <c r="F27"/>
  <c r="G27"/>
  <c r="H27"/>
  <c r="C26"/>
  <c r="D26"/>
  <c r="E26"/>
  <c r="F26"/>
  <c r="G26"/>
  <c r="H26"/>
  <c r="C25"/>
  <c r="D25"/>
  <c r="E25"/>
  <c r="F25"/>
  <c r="G25"/>
  <c r="H25"/>
  <c r="C24"/>
  <c r="D24"/>
  <c r="E24"/>
  <c r="F24"/>
  <c r="G24"/>
  <c r="H24"/>
  <c r="C23"/>
  <c r="D23"/>
  <c r="E23"/>
  <c r="F23"/>
  <c r="G23"/>
  <c r="H23"/>
  <c r="C22"/>
  <c r="D22"/>
  <c r="E22"/>
  <c r="F22"/>
  <c r="G22"/>
  <c r="H22"/>
  <c r="C21"/>
  <c r="D21"/>
  <c r="E21"/>
  <c r="F21"/>
  <c r="G21"/>
  <c r="H21"/>
  <c r="C20"/>
  <c r="D20"/>
  <c r="E20"/>
  <c r="F20"/>
  <c r="G20"/>
  <c r="H20"/>
  <c r="C19"/>
  <c r="D19"/>
  <c r="E19"/>
  <c r="F19"/>
  <c r="G19"/>
  <c r="H19"/>
  <c r="I19" i="26"/>
  <c r="I20"/>
  <c r="I21"/>
  <c r="I22"/>
  <c r="I23"/>
  <c r="I24"/>
  <c r="I25"/>
  <c r="I26"/>
  <c r="I27"/>
  <c r="I28"/>
  <c r="I29"/>
  <c r="I30"/>
  <c r="I31"/>
  <c r="I32"/>
  <c r="I33"/>
  <c r="I34"/>
  <c r="I35"/>
  <c r="I36"/>
  <c r="I6"/>
  <c r="I7"/>
  <c r="I8"/>
  <c r="I9"/>
  <c r="I10"/>
  <c r="I11"/>
  <c r="I12"/>
  <c r="I13"/>
  <c r="I14"/>
  <c r="I15"/>
  <c r="I16"/>
  <c r="I17"/>
  <c r="I37"/>
  <c r="I39"/>
  <c r="I40"/>
  <c r="I41"/>
  <c r="I42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6"/>
  <c r="J7"/>
  <c r="J8"/>
  <c r="J9"/>
  <c r="J10"/>
  <c r="J11"/>
  <c r="J12"/>
  <c r="J13"/>
  <c r="J14"/>
  <c r="J15"/>
  <c r="J16"/>
  <c r="J17"/>
  <c r="J37"/>
  <c r="J39"/>
  <c r="J40"/>
  <c r="J41"/>
  <c r="J42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6"/>
  <c r="K7"/>
  <c r="K8"/>
  <c r="K9"/>
  <c r="K10"/>
  <c r="K11"/>
  <c r="K12"/>
  <c r="K13"/>
  <c r="K14"/>
  <c r="K15"/>
  <c r="K16"/>
  <c r="K17"/>
  <c r="K37"/>
  <c r="K39"/>
  <c r="K40"/>
  <c r="K41"/>
  <c r="K42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6"/>
  <c r="L7"/>
  <c r="L8"/>
  <c r="L9"/>
  <c r="L10"/>
  <c r="L11"/>
  <c r="L12"/>
  <c r="L13"/>
  <c r="L14"/>
  <c r="L15"/>
  <c r="L16"/>
  <c r="L17"/>
  <c r="L37"/>
  <c r="L39"/>
  <c r="L40"/>
  <c r="L41"/>
  <c r="L42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6"/>
  <c r="M7"/>
  <c r="M8"/>
  <c r="M9"/>
  <c r="M10"/>
  <c r="M11"/>
  <c r="M12"/>
  <c r="M13"/>
  <c r="M14"/>
  <c r="M15"/>
  <c r="M16"/>
  <c r="M17"/>
  <c r="M37"/>
  <c r="M39"/>
  <c r="M40"/>
  <c r="M41"/>
  <c r="M42"/>
  <c r="N42"/>
  <c r="N41"/>
  <c r="N40"/>
  <c r="N39"/>
  <c r="N37"/>
  <c r="N17"/>
  <c r="N16"/>
  <c r="N15"/>
  <c r="N14"/>
  <c r="N13"/>
  <c r="N12"/>
  <c r="N11"/>
  <c r="N10"/>
  <c r="N9"/>
  <c r="N8"/>
  <c r="N7"/>
  <c r="N6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H42"/>
  <c r="H41"/>
  <c r="H40"/>
  <c r="H39"/>
  <c r="H37"/>
  <c r="H17"/>
  <c r="H16"/>
  <c r="H15"/>
  <c r="H14"/>
  <c r="H13"/>
  <c r="H12"/>
  <c r="H11"/>
  <c r="H10"/>
  <c r="H9"/>
  <c r="H8"/>
  <c r="H7"/>
  <c r="H6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C36" i="25"/>
  <c r="C17"/>
  <c r="C37"/>
  <c r="C41"/>
  <c r="C42"/>
  <c r="I42" i="30"/>
  <c r="D36" i="25"/>
  <c r="D17"/>
  <c r="D37"/>
  <c r="D41"/>
  <c r="D42"/>
  <c r="J42" i="30"/>
  <c r="E36" i="25"/>
  <c r="E17"/>
  <c r="E37"/>
  <c r="E41"/>
  <c r="E42"/>
  <c r="K42" i="30"/>
  <c r="F36" i="25"/>
  <c r="F17"/>
  <c r="F37"/>
  <c r="F41"/>
  <c r="F42"/>
  <c r="L42" i="30"/>
  <c r="G36" i="25"/>
  <c r="G17"/>
  <c r="G37"/>
  <c r="G41"/>
  <c r="G42"/>
  <c r="M42" i="30"/>
  <c r="N42"/>
  <c r="I41"/>
  <c r="J41"/>
  <c r="K41"/>
  <c r="L41"/>
  <c r="M41"/>
  <c r="N41"/>
  <c r="I40"/>
  <c r="J40"/>
  <c r="K40"/>
  <c r="L40"/>
  <c r="M40"/>
  <c r="N40"/>
  <c r="I39"/>
  <c r="J39"/>
  <c r="K39"/>
  <c r="L39"/>
  <c r="M39"/>
  <c r="N39"/>
  <c r="I37"/>
  <c r="J37"/>
  <c r="K37"/>
  <c r="L37"/>
  <c r="M37"/>
  <c r="N37"/>
  <c r="I17"/>
  <c r="J17"/>
  <c r="K17"/>
  <c r="L17"/>
  <c r="M17"/>
  <c r="N17"/>
  <c r="I16"/>
  <c r="J16"/>
  <c r="K16"/>
  <c r="L16"/>
  <c r="M16"/>
  <c r="N16"/>
  <c r="I15"/>
  <c r="J15"/>
  <c r="K15"/>
  <c r="L15"/>
  <c r="M15"/>
  <c r="N15"/>
  <c r="I14"/>
  <c r="J14"/>
  <c r="K14"/>
  <c r="L14"/>
  <c r="M14"/>
  <c r="N14"/>
  <c r="I13"/>
  <c r="J13"/>
  <c r="K13"/>
  <c r="L13"/>
  <c r="M13"/>
  <c r="N13"/>
  <c r="I12"/>
  <c r="J12"/>
  <c r="K12"/>
  <c r="L12"/>
  <c r="M12"/>
  <c r="N12"/>
  <c r="I11"/>
  <c r="J11"/>
  <c r="K11"/>
  <c r="L11"/>
  <c r="M11"/>
  <c r="N11"/>
  <c r="I10"/>
  <c r="J10"/>
  <c r="K10"/>
  <c r="L10"/>
  <c r="M10"/>
  <c r="N10"/>
  <c r="I9"/>
  <c r="J9"/>
  <c r="K9"/>
  <c r="L9"/>
  <c r="M9"/>
  <c r="N9"/>
  <c r="I8"/>
  <c r="J8"/>
  <c r="K8"/>
  <c r="L8"/>
  <c r="M8"/>
  <c r="N8"/>
  <c r="I7"/>
  <c r="J7"/>
  <c r="K7"/>
  <c r="L7"/>
  <c r="M7"/>
  <c r="N7"/>
  <c r="I6"/>
  <c r="J6"/>
  <c r="K6"/>
  <c r="L6"/>
  <c r="M6"/>
  <c r="N6"/>
  <c r="I36"/>
  <c r="J36"/>
  <c r="K36"/>
  <c r="L36"/>
  <c r="M36"/>
  <c r="N36"/>
  <c r="I35"/>
  <c r="J35"/>
  <c r="K35"/>
  <c r="L35"/>
  <c r="M35"/>
  <c r="N35"/>
  <c r="I34"/>
  <c r="J34"/>
  <c r="K34"/>
  <c r="L34"/>
  <c r="M34"/>
  <c r="N34"/>
  <c r="I33"/>
  <c r="J33"/>
  <c r="K33"/>
  <c r="L33"/>
  <c r="M33"/>
  <c r="N33"/>
  <c r="I32"/>
  <c r="J32"/>
  <c r="K32"/>
  <c r="L32"/>
  <c r="M32"/>
  <c r="N32"/>
  <c r="I31"/>
  <c r="J31"/>
  <c r="K31"/>
  <c r="L31"/>
  <c r="M31"/>
  <c r="N31"/>
  <c r="I30"/>
  <c r="J30"/>
  <c r="K30"/>
  <c r="L30"/>
  <c r="M30"/>
  <c r="N30"/>
  <c r="I29"/>
  <c r="J29"/>
  <c r="K29"/>
  <c r="L29"/>
  <c r="M29"/>
  <c r="N29"/>
  <c r="I28"/>
  <c r="J28"/>
  <c r="K28"/>
  <c r="L28"/>
  <c r="M28"/>
  <c r="N28"/>
  <c r="I27"/>
  <c r="J27"/>
  <c r="K27"/>
  <c r="L27"/>
  <c r="M27"/>
  <c r="N27"/>
  <c r="I26"/>
  <c r="J26"/>
  <c r="K26"/>
  <c r="L26"/>
  <c r="M26"/>
  <c r="N26"/>
  <c r="I25"/>
  <c r="J25"/>
  <c r="K25"/>
  <c r="L25"/>
  <c r="M25"/>
  <c r="N25"/>
  <c r="I24"/>
  <c r="J24"/>
  <c r="K24"/>
  <c r="L24"/>
  <c r="M24"/>
  <c r="N24"/>
  <c r="I23"/>
  <c r="J23"/>
  <c r="K23"/>
  <c r="L23"/>
  <c r="M23"/>
  <c r="N23"/>
  <c r="I22"/>
  <c r="J22"/>
  <c r="K22"/>
  <c r="L22"/>
  <c r="M22"/>
  <c r="N22"/>
  <c r="I21"/>
  <c r="J21"/>
  <c r="K21"/>
  <c r="L21"/>
  <c r="M21"/>
  <c r="N21"/>
  <c r="I20"/>
  <c r="J20"/>
  <c r="K20"/>
  <c r="L20"/>
  <c r="M20"/>
  <c r="N20"/>
  <c r="I19"/>
  <c r="J19"/>
  <c r="K19"/>
  <c r="L19"/>
  <c r="M19"/>
  <c r="N19"/>
  <c r="C42"/>
  <c r="D42"/>
  <c r="E42"/>
  <c r="F42"/>
  <c r="G42"/>
  <c r="H42"/>
  <c r="C41"/>
  <c r="D41"/>
  <c r="E41"/>
  <c r="F41"/>
  <c r="G41"/>
  <c r="H41"/>
  <c r="C40"/>
  <c r="D40"/>
  <c r="E40"/>
  <c r="F40"/>
  <c r="G40"/>
  <c r="H40"/>
  <c r="C39"/>
  <c r="D39"/>
  <c r="E39"/>
  <c r="F39"/>
  <c r="G39"/>
  <c r="H39"/>
  <c r="C37"/>
  <c r="D37"/>
  <c r="E37"/>
  <c r="F37"/>
  <c r="G37"/>
  <c r="H37"/>
  <c r="C17"/>
  <c r="D17"/>
  <c r="E17"/>
  <c r="F17"/>
  <c r="G17"/>
  <c r="H17"/>
  <c r="C16"/>
  <c r="D16"/>
  <c r="E16"/>
  <c r="F16"/>
  <c r="G16"/>
  <c r="H16"/>
  <c r="C15"/>
  <c r="D15"/>
  <c r="E15"/>
  <c r="F15"/>
  <c r="G15"/>
  <c r="H15"/>
  <c r="C14"/>
  <c r="D14"/>
  <c r="E14"/>
  <c r="F14"/>
  <c r="G14"/>
  <c r="H14"/>
  <c r="C13"/>
  <c r="D13"/>
  <c r="E13"/>
  <c r="F13"/>
  <c r="G13"/>
  <c r="H13"/>
  <c r="C12"/>
  <c r="D12"/>
  <c r="E12"/>
  <c r="F12"/>
  <c r="G12"/>
  <c r="H12"/>
  <c r="C11"/>
  <c r="D11"/>
  <c r="E11"/>
  <c r="F11"/>
  <c r="G11"/>
  <c r="H11"/>
  <c r="C10"/>
  <c r="D10"/>
  <c r="E10"/>
  <c r="F10"/>
  <c r="G10"/>
  <c r="H10"/>
  <c r="C9"/>
  <c r="D9"/>
  <c r="E9"/>
  <c r="F9"/>
  <c r="G9"/>
  <c r="H9"/>
  <c r="C8"/>
  <c r="D8"/>
  <c r="E8"/>
  <c r="F8"/>
  <c r="G8"/>
  <c r="H8"/>
  <c r="C7"/>
  <c r="D7"/>
  <c r="E7"/>
  <c r="F7"/>
  <c r="G7"/>
  <c r="H7"/>
  <c r="C6"/>
  <c r="D6"/>
  <c r="E6"/>
  <c r="F6"/>
  <c r="G6"/>
  <c r="H6"/>
  <c r="C36"/>
  <c r="D36"/>
  <c r="E36"/>
  <c r="F36"/>
  <c r="G36"/>
  <c r="H36"/>
  <c r="C35"/>
  <c r="D35"/>
  <c r="E35"/>
  <c r="F35"/>
  <c r="G35"/>
  <c r="H35"/>
  <c r="C34"/>
  <c r="D34"/>
  <c r="E34"/>
  <c r="F34"/>
  <c r="G34"/>
  <c r="H34"/>
  <c r="C33"/>
  <c r="D33"/>
  <c r="E33"/>
  <c r="F33"/>
  <c r="G33"/>
  <c r="H33"/>
  <c r="C32"/>
  <c r="D32"/>
  <c r="E32"/>
  <c r="F32"/>
  <c r="G32"/>
  <c r="H32"/>
  <c r="C31"/>
  <c r="D31"/>
  <c r="E31"/>
  <c r="F31"/>
  <c r="G31"/>
  <c r="H31"/>
  <c r="C30"/>
  <c r="D30"/>
  <c r="E30"/>
  <c r="F30"/>
  <c r="G30"/>
  <c r="H30"/>
  <c r="C29"/>
  <c r="D29"/>
  <c r="E29"/>
  <c r="F29"/>
  <c r="G29"/>
  <c r="H29"/>
  <c r="C28"/>
  <c r="D28"/>
  <c r="E28"/>
  <c r="F28"/>
  <c r="G28"/>
  <c r="H28"/>
  <c r="C27"/>
  <c r="D27"/>
  <c r="E27"/>
  <c r="F27"/>
  <c r="G27"/>
  <c r="H27"/>
  <c r="C26"/>
  <c r="D26"/>
  <c r="E26"/>
  <c r="F26"/>
  <c r="G26"/>
  <c r="H26"/>
  <c r="C25"/>
  <c r="D25"/>
  <c r="E25"/>
  <c r="F25"/>
  <c r="G25"/>
  <c r="H25"/>
  <c r="C24"/>
  <c r="D24"/>
  <c r="E24"/>
  <c r="F24"/>
  <c r="G24"/>
  <c r="H24"/>
  <c r="C23"/>
  <c r="D23"/>
  <c r="E23"/>
  <c r="F23"/>
  <c r="G23"/>
  <c r="H23"/>
  <c r="C22"/>
  <c r="D22"/>
  <c r="E22"/>
  <c r="F22"/>
  <c r="G22"/>
  <c r="H22"/>
  <c r="C21"/>
  <c r="D21"/>
  <c r="E21"/>
  <c r="F21"/>
  <c r="G21"/>
  <c r="H21"/>
  <c r="C20"/>
  <c r="D20"/>
  <c r="E20"/>
  <c r="F20"/>
  <c r="G20"/>
  <c r="H20"/>
  <c r="C19"/>
  <c r="D19"/>
  <c r="E19"/>
  <c r="F19"/>
  <c r="G19"/>
  <c r="H19"/>
  <c r="I19" i="25"/>
  <c r="I20"/>
  <c r="I21"/>
  <c r="I22"/>
  <c r="I23"/>
  <c r="I24"/>
  <c r="I25"/>
  <c r="I26"/>
  <c r="I27"/>
  <c r="I28"/>
  <c r="I29"/>
  <c r="I30"/>
  <c r="I31"/>
  <c r="I32"/>
  <c r="I33"/>
  <c r="I34"/>
  <c r="I35"/>
  <c r="I36"/>
  <c r="I6"/>
  <c r="I7"/>
  <c r="I8"/>
  <c r="I9"/>
  <c r="I10"/>
  <c r="I11"/>
  <c r="I12"/>
  <c r="I13"/>
  <c r="I14"/>
  <c r="I15"/>
  <c r="I16"/>
  <c r="I17"/>
  <c r="I37"/>
  <c r="I39"/>
  <c r="I40"/>
  <c r="I41"/>
  <c r="I42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6"/>
  <c r="J7"/>
  <c r="J8"/>
  <c r="J9"/>
  <c r="J10"/>
  <c r="J11"/>
  <c r="J12"/>
  <c r="J13"/>
  <c r="J14"/>
  <c r="J15"/>
  <c r="J16"/>
  <c r="J17"/>
  <c r="J37"/>
  <c r="J39"/>
  <c r="J40"/>
  <c r="J41"/>
  <c r="J42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6"/>
  <c r="K7"/>
  <c r="K8"/>
  <c r="K9"/>
  <c r="K10"/>
  <c r="K11"/>
  <c r="K12"/>
  <c r="K13"/>
  <c r="K14"/>
  <c r="K15"/>
  <c r="K16"/>
  <c r="K17"/>
  <c r="K37"/>
  <c r="K39"/>
  <c r="K40"/>
  <c r="K41"/>
  <c r="K42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6"/>
  <c r="L7"/>
  <c r="L8"/>
  <c r="L9"/>
  <c r="L10"/>
  <c r="L11"/>
  <c r="L12"/>
  <c r="L13"/>
  <c r="L14"/>
  <c r="L15"/>
  <c r="L16"/>
  <c r="L17"/>
  <c r="L37"/>
  <c r="L39"/>
  <c r="L40"/>
  <c r="L41"/>
  <c r="L42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6"/>
  <c r="M7"/>
  <c r="M8"/>
  <c r="M9"/>
  <c r="M10"/>
  <c r="M11"/>
  <c r="M12"/>
  <c r="M13"/>
  <c r="M14"/>
  <c r="M15"/>
  <c r="M16"/>
  <c r="M17"/>
  <c r="M37"/>
  <c r="M39"/>
  <c r="M40"/>
  <c r="M41"/>
  <c r="M42"/>
  <c r="N42"/>
  <c r="N41"/>
  <c r="N40"/>
  <c r="N39"/>
  <c r="N37"/>
  <c r="N17"/>
  <c r="N16"/>
  <c r="N15"/>
  <c r="N14"/>
  <c r="N13"/>
  <c r="N12"/>
  <c r="N11"/>
  <c r="N10"/>
  <c r="N9"/>
  <c r="N8"/>
  <c r="N7"/>
  <c r="N6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H42"/>
  <c r="H41"/>
  <c r="H40"/>
  <c r="H39"/>
  <c r="H37"/>
  <c r="H17"/>
  <c r="H16"/>
  <c r="H15"/>
  <c r="H14"/>
  <c r="H13"/>
  <c r="H12"/>
  <c r="H11"/>
  <c r="H10"/>
  <c r="H9"/>
  <c r="H8"/>
  <c r="H7"/>
  <c r="H6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C36" i="24"/>
  <c r="C17"/>
  <c r="C37"/>
  <c r="C41"/>
  <c r="C42"/>
  <c r="I42" i="29"/>
  <c r="D36" i="24"/>
  <c r="D17"/>
  <c r="D37"/>
  <c r="D41"/>
  <c r="D42"/>
  <c r="J42" i="29"/>
  <c r="E36" i="24"/>
  <c r="E17"/>
  <c r="E37"/>
  <c r="E41"/>
  <c r="E42"/>
  <c r="K42" i="29"/>
  <c r="F36" i="24"/>
  <c r="F17"/>
  <c r="F37"/>
  <c r="F41"/>
  <c r="F42"/>
  <c r="L42" i="29"/>
  <c r="G36" i="24"/>
  <c r="G17"/>
  <c r="G37"/>
  <c r="G41"/>
  <c r="G42"/>
  <c r="M42" i="29"/>
  <c r="N42"/>
  <c r="I41"/>
  <c r="J41"/>
  <c r="K41"/>
  <c r="L41"/>
  <c r="M41"/>
  <c r="N41"/>
  <c r="I40"/>
  <c r="J40"/>
  <c r="K40"/>
  <c r="L40"/>
  <c r="M40"/>
  <c r="N40"/>
  <c r="I39"/>
  <c r="J39"/>
  <c r="K39"/>
  <c r="L39"/>
  <c r="M39"/>
  <c r="N39"/>
  <c r="I37"/>
  <c r="J37"/>
  <c r="K37"/>
  <c r="L37"/>
  <c r="M37"/>
  <c r="N37"/>
  <c r="I17"/>
  <c r="J17"/>
  <c r="K17"/>
  <c r="L17"/>
  <c r="M17"/>
  <c r="N17"/>
  <c r="I16"/>
  <c r="J16"/>
  <c r="K16"/>
  <c r="L16"/>
  <c r="M16"/>
  <c r="N16"/>
  <c r="I15"/>
  <c r="J15"/>
  <c r="K15"/>
  <c r="L15"/>
  <c r="M15"/>
  <c r="N15"/>
  <c r="I14"/>
  <c r="J14"/>
  <c r="K14"/>
  <c r="L14"/>
  <c r="M14"/>
  <c r="N14"/>
  <c r="I13"/>
  <c r="J13"/>
  <c r="K13"/>
  <c r="L13"/>
  <c r="M13"/>
  <c r="N13"/>
  <c r="I12"/>
  <c r="J12"/>
  <c r="K12"/>
  <c r="L12"/>
  <c r="M12"/>
  <c r="N12"/>
  <c r="I11"/>
  <c r="J11"/>
  <c r="K11"/>
  <c r="L11"/>
  <c r="M11"/>
  <c r="N11"/>
  <c r="I10"/>
  <c r="J10"/>
  <c r="K10"/>
  <c r="L10"/>
  <c r="M10"/>
  <c r="N10"/>
  <c r="I9"/>
  <c r="J9"/>
  <c r="K9"/>
  <c r="L9"/>
  <c r="M9"/>
  <c r="N9"/>
  <c r="I8"/>
  <c r="J8"/>
  <c r="K8"/>
  <c r="L8"/>
  <c r="M8"/>
  <c r="N8"/>
  <c r="I7"/>
  <c r="J7"/>
  <c r="K7"/>
  <c r="L7"/>
  <c r="M7"/>
  <c r="N7"/>
  <c r="I6"/>
  <c r="J6"/>
  <c r="K6"/>
  <c r="L6"/>
  <c r="M6"/>
  <c r="N6"/>
  <c r="I36"/>
  <c r="J36"/>
  <c r="K36"/>
  <c r="L36"/>
  <c r="M36"/>
  <c r="N36"/>
  <c r="I35"/>
  <c r="J35"/>
  <c r="K35"/>
  <c r="L35"/>
  <c r="M35"/>
  <c r="N35"/>
  <c r="I34"/>
  <c r="J34"/>
  <c r="K34"/>
  <c r="L34"/>
  <c r="M34"/>
  <c r="N34"/>
  <c r="I33"/>
  <c r="J33"/>
  <c r="K33"/>
  <c r="L33"/>
  <c r="M33"/>
  <c r="N33"/>
  <c r="I32"/>
  <c r="J32"/>
  <c r="K32"/>
  <c r="L32"/>
  <c r="M32"/>
  <c r="N32"/>
  <c r="I31"/>
  <c r="J31"/>
  <c r="K31"/>
  <c r="L31"/>
  <c r="M31"/>
  <c r="N31"/>
  <c r="I30"/>
  <c r="J30"/>
  <c r="K30"/>
  <c r="L30"/>
  <c r="M30"/>
  <c r="N30"/>
  <c r="I29"/>
  <c r="J29"/>
  <c r="K29"/>
  <c r="L29"/>
  <c r="M29"/>
  <c r="N29"/>
  <c r="I28"/>
  <c r="J28"/>
  <c r="K28"/>
  <c r="L28"/>
  <c r="M28"/>
  <c r="N28"/>
  <c r="I27"/>
  <c r="J27"/>
  <c r="K27"/>
  <c r="L27"/>
  <c r="M27"/>
  <c r="N27"/>
  <c r="I26"/>
  <c r="J26"/>
  <c r="K26"/>
  <c r="L26"/>
  <c r="M26"/>
  <c r="N26"/>
  <c r="I25"/>
  <c r="J25"/>
  <c r="K25"/>
  <c r="L25"/>
  <c r="M25"/>
  <c r="N25"/>
  <c r="I24"/>
  <c r="J24"/>
  <c r="K24"/>
  <c r="L24"/>
  <c r="M24"/>
  <c r="N24"/>
  <c r="I23"/>
  <c r="J23"/>
  <c r="K23"/>
  <c r="L23"/>
  <c r="M23"/>
  <c r="N23"/>
  <c r="I22"/>
  <c r="J22"/>
  <c r="K22"/>
  <c r="L22"/>
  <c r="M22"/>
  <c r="N22"/>
  <c r="I21"/>
  <c r="J21"/>
  <c r="K21"/>
  <c r="L21"/>
  <c r="M21"/>
  <c r="N21"/>
  <c r="I20"/>
  <c r="J20"/>
  <c r="K20"/>
  <c r="L20"/>
  <c r="M20"/>
  <c r="N20"/>
  <c r="I19"/>
  <c r="J19"/>
  <c r="K19"/>
  <c r="L19"/>
  <c r="M19"/>
  <c r="N19"/>
  <c r="C42"/>
  <c r="D42"/>
  <c r="E42"/>
  <c r="F42"/>
  <c r="G42"/>
  <c r="H42"/>
  <c r="C41"/>
  <c r="D41"/>
  <c r="E41"/>
  <c r="F41"/>
  <c r="G41"/>
  <c r="H41"/>
  <c r="C40"/>
  <c r="D40"/>
  <c r="E40"/>
  <c r="F40"/>
  <c r="G40"/>
  <c r="H40"/>
  <c r="C39"/>
  <c r="D39"/>
  <c r="E39"/>
  <c r="F39"/>
  <c r="G39"/>
  <c r="H39"/>
  <c r="C37"/>
  <c r="D37"/>
  <c r="E37"/>
  <c r="F37"/>
  <c r="G37"/>
  <c r="H37"/>
  <c r="H17"/>
  <c r="H16"/>
  <c r="H15"/>
  <c r="H14"/>
  <c r="H13"/>
  <c r="H12"/>
  <c r="H11"/>
  <c r="H10"/>
  <c r="H9"/>
  <c r="H8"/>
  <c r="H7"/>
  <c r="H6"/>
  <c r="C36"/>
  <c r="D36"/>
  <c r="E36"/>
  <c r="F36"/>
  <c r="G36"/>
  <c r="H36"/>
  <c r="C35"/>
  <c r="D35"/>
  <c r="E35"/>
  <c r="F35"/>
  <c r="G35"/>
  <c r="H35"/>
  <c r="C34"/>
  <c r="D34"/>
  <c r="E34"/>
  <c r="F34"/>
  <c r="G34"/>
  <c r="H34"/>
  <c r="C33"/>
  <c r="D33"/>
  <c r="E33"/>
  <c r="F33"/>
  <c r="G33"/>
  <c r="H33"/>
  <c r="C32"/>
  <c r="D32"/>
  <c r="E32"/>
  <c r="F32"/>
  <c r="G32"/>
  <c r="H32"/>
  <c r="C31"/>
  <c r="D31"/>
  <c r="E31"/>
  <c r="F31"/>
  <c r="G31"/>
  <c r="H31"/>
  <c r="C30"/>
  <c r="D30"/>
  <c r="E30"/>
  <c r="F30"/>
  <c r="G30"/>
  <c r="H30"/>
  <c r="C29"/>
  <c r="D29"/>
  <c r="E29"/>
  <c r="F29"/>
  <c r="G29"/>
  <c r="H29"/>
  <c r="C28"/>
  <c r="D28"/>
  <c r="E28"/>
  <c r="F28"/>
  <c r="G28"/>
  <c r="H28"/>
  <c r="C27"/>
  <c r="D27"/>
  <c r="E27"/>
  <c r="F27"/>
  <c r="G27"/>
  <c r="H27"/>
  <c r="C26"/>
  <c r="D26"/>
  <c r="E26"/>
  <c r="F26"/>
  <c r="G26"/>
  <c r="H26"/>
  <c r="C25"/>
  <c r="D25"/>
  <c r="E25"/>
  <c r="F25"/>
  <c r="G25"/>
  <c r="H25"/>
  <c r="C24"/>
  <c r="D24"/>
  <c r="E24"/>
  <c r="F24"/>
  <c r="G24"/>
  <c r="H24"/>
  <c r="C23"/>
  <c r="D23"/>
  <c r="E23"/>
  <c r="F23"/>
  <c r="G23"/>
  <c r="H23"/>
  <c r="C22"/>
  <c r="D22"/>
  <c r="E22"/>
  <c r="F22"/>
  <c r="G22"/>
  <c r="H22"/>
  <c r="C21"/>
  <c r="D21"/>
  <c r="E21"/>
  <c r="F21"/>
  <c r="G21"/>
  <c r="H21"/>
  <c r="C20"/>
  <c r="D20"/>
  <c r="E20"/>
  <c r="F20"/>
  <c r="G20"/>
  <c r="H20"/>
  <c r="C19"/>
  <c r="D19"/>
  <c r="E19"/>
  <c r="F19"/>
  <c r="G19"/>
  <c r="H19"/>
  <c r="H42" i="24"/>
  <c r="H47"/>
  <c r="I36"/>
  <c r="I17"/>
  <c r="I37"/>
  <c r="I41"/>
  <c r="I42"/>
  <c r="J36"/>
  <c r="J17"/>
  <c r="J37"/>
  <c r="J41"/>
  <c r="J42"/>
  <c r="K36"/>
  <c r="K17"/>
  <c r="K37"/>
  <c r="K41"/>
  <c r="K42"/>
  <c r="L36"/>
  <c r="L17"/>
  <c r="L37"/>
  <c r="L41"/>
  <c r="L42"/>
  <c r="M36"/>
  <c r="M17"/>
  <c r="M37"/>
  <c r="M41"/>
  <c r="M42"/>
  <c r="N42"/>
  <c r="N41"/>
  <c r="N40"/>
  <c r="N39"/>
  <c r="N37"/>
  <c r="N17"/>
  <c r="N16"/>
  <c r="N15"/>
  <c r="N14"/>
  <c r="N13"/>
  <c r="N12"/>
  <c r="N11"/>
  <c r="N10"/>
  <c r="N9"/>
  <c r="N8"/>
  <c r="N7"/>
  <c r="N6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H41"/>
  <c r="H40"/>
  <c r="H39"/>
  <c r="H37"/>
  <c r="H17"/>
  <c r="H16"/>
  <c r="H15"/>
  <c r="H14"/>
  <c r="H13"/>
  <c r="H12"/>
  <c r="H11"/>
  <c r="H10"/>
  <c r="H9"/>
  <c r="H8"/>
  <c r="H7"/>
  <c r="H6"/>
  <c r="H20"/>
  <c r="H21"/>
  <c r="H22"/>
  <c r="H23"/>
  <c r="H24"/>
  <c r="H25"/>
  <c r="H26"/>
  <c r="H27"/>
  <c r="H28"/>
  <c r="H29"/>
  <c r="H30"/>
  <c r="H31"/>
  <c r="H32"/>
  <c r="H33"/>
  <c r="H34"/>
  <c r="H35"/>
  <c r="H36"/>
  <c r="H19"/>
  <c r="C36" i="23"/>
  <c r="C17"/>
  <c r="C37"/>
  <c r="C41"/>
  <c r="C42"/>
  <c r="I42" i="28"/>
  <c r="D36" i="23"/>
  <c r="D17"/>
  <c r="D37"/>
  <c r="D41"/>
  <c r="D42"/>
  <c r="J42" i="28"/>
  <c r="E36" i="23"/>
  <c r="E17"/>
  <c r="E37"/>
  <c r="E41"/>
  <c r="E42"/>
  <c r="K42" i="28"/>
  <c r="F36" i="23"/>
  <c r="F17"/>
  <c r="F37"/>
  <c r="F40"/>
  <c r="F41"/>
  <c r="F42"/>
  <c r="L42" i="28"/>
  <c r="G36" i="23"/>
  <c r="G17"/>
  <c r="G37"/>
  <c r="G40"/>
  <c r="G41"/>
  <c r="G42"/>
  <c r="M42" i="28"/>
  <c r="N42"/>
  <c r="I41"/>
  <c r="J41"/>
  <c r="K41"/>
  <c r="L41"/>
  <c r="M41"/>
  <c r="N41"/>
  <c r="I40"/>
  <c r="J40"/>
  <c r="K40"/>
  <c r="L40"/>
  <c r="M40"/>
  <c r="N40"/>
  <c r="I39"/>
  <c r="J39"/>
  <c r="K39"/>
  <c r="L39"/>
  <c r="M39"/>
  <c r="N39"/>
  <c r="I17"/>
  <c r="J17"/>
  <c r="K17"/>
  <c r="L17"/>
  <c r="M17"/>
  <c r="N17"/>
  <c r="I16"/>
  <c r="J16"/>
  <c r="K16"/>
  <c r="L16"/>
  <c r="M16"/>
  <c r="N16"/>
  <c r="I15"/>
  <c r="J15"/>
  <c r="K15"/>
  <c r="L15"/>
  <c r="M15"/>
  <c r="N15"/>
  <c r="I14"/>
  <c r="J14"/>
  <c r="K14"/>
  <c r="L14"/>
  <c r="M14"/>
  <c r="N14"/>
  <c r="I13"/>
  <c r="J13"/>
  <c r="K13"/>
  <c r="L13"/>
  <c r="M13"/>
  <c r="N13"/>
  <c r="I12"/>
  <c r="J12"/>
  <c r="K12"/>
  <c r="L12"/>
  <c r="M12"/>
  <c r="N12"/>
  <c r="I11"/>
  <c r="J11"/>
  <c r="K11"/>
  <c r="L11"/>
  <c r="M11"/>
  <c r="N11"/>
  <c r="I10"/>
  <c r="J10"/>
  <c r="K10"/>
  <c r="L10"/>
  <c r="M10"/>
  <c r="N10"/>
  <c r="I9"/>
  <c r="J9"/>
  <c r="K9"/>
  <c r="L9"/>
  <c r="M9"/>
  <c r="N9"/>
  <c r="I8"/>
  <c r="J8"/>
  <c r="K8"/>
  <c r="L8"/>
  <c r="M8"/>
  <c r="N8"/>
  <c r="I7"/>
  <c r="J7"/>
  <c r="K7"/>
  <c r="L7"/>
  <c r="M7"/>
  <c r="N7"/>
  <c r="I6"/>
  <c r="J6"/>
  <c r="K6"/>
  <c r="L6"/>
  <c r="M6"/>
  <c r="N6"/>
  <c r="I36"/>
  <c r="J36"/>
  <c r="K36"/>
  <c r="L36"/>
  <c r="M36"/>
  <c r="N36"/>
  <c r="I35"/>
  <c r="J35"/>
  <c r="K35"/>
  <c r="L35"/>
  <c r="M35"/>
  <c r="N35"/>
  <c r="I34"/>
  <c r="J34"/>
  <c r="K34"/>
  <c r="L34"/>
  <c r="M34"/>
  <c r="N34"/>
  <c r="I33"/>
  <c r="J33"/>
  <c r="K33"/>
  <c r="L33"/>
  <c r="M33"/>
  <c r="N33"/>
  <c r="I32"/>
  <c r="J32"/>
  <c r="K32"/>
  <c r="L32"/>
  <c r="M32"/>
  <c r="N32"/>
  <c r="I31"/>
  <c r="J31"/>
  <c r="K31"/>
  <c r="L31"/>
  <c r="M31"/>
  <c r="N31"/>
  <c r="I30"/>
  <c r="J30"/>
  <c r="K30"/>
  <c r="L30"/>
  <c r="M30"/>
  <c r="N30"/>
  <c r="I29"/>
  <c r="J29"/>
  <c r="K29"/>
  <c r="L29"/>
  <c r="M29"/>
  <c r="N29"/>
  <c r="I28"/>
  <c r="J28"/>
  <c r="K28"/>
  <c r="L28"/>
  <c r="M28"/>
  <c r="N28"/>
  <c r="I27"/>
  <c r="J27"/>
  <c r="K27"/>
  <c r="L27"/>
  <c r="M27"/>
  <c r="N27"/>
  <c r="I26"/>
  <c r="J26"/>
  <c r="K26"/>
  <c r="L26"/>
  <c r="M26"/>
  <c r="N26"/>
  <c r="I25"/>
  <c r="J25"/>
  <c r="K25"/>
  <c r="L25"/>
  <c r="M25"/>
  <c r="N25"/>
  <c r="I24"/>
  <c r="J24"/>
  <c r="K24"/>
  <c r="L24"/>
  <c r="M24"/>
  <c r="N24"/>
  <c r="I23"/>
  <c r="J23"/>
  <c r="K23"/>
  <c r="L23"/>
  <c r="M23"/>
  <c r="N23"/>
  <c r="I22"/>
  <c r="J22"/>
  <c r="K22"/>
  <c r="L22"/>
  <c r="M22"/>
  <c r="N22"/>
  <c r="I21"/>
  <c r="J21"/>
  <c r="K21"/>
  <c r="L21"/>
  <c r="M21"/>
  <c r="N21"/>
  <c r="I20"/>
  <c r="J20"/>
  <c r="K20"/>
  <c r="L20"/>
  <c r="M20"/>
  <c r="N20"/>
  <c r="I19"/>
  <c r="J19"/>
  <c r="K19"/>
  <c r="L19"/>
  <c r="M19"/>
  <c r="N19"/>
  <c r="H42"/>
  <c r="H41"/>
  <c r="H40"/>
  <c r="H39"/>
  <c r="H17"/>
  <c r="H16"/>
  <c r="H15"/>
  <c r="H14"/>
  <c r="H13"/>
  <c r="H12"/>
  <c r="H11"/>
  <c r="H10"/>
  <c r="H9"/>
  <c r="H8"/>
  <c r="H7"/>
  <c r="H6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42" i="23"/>
  <c r="H41"/>
  <c r="H40"/>
  <c r="H39"/>
  <c r="H37"/>
  <c r="H17"/>
  <c r="H16"/>
  <c r="H15"/>
  <c r="H14"/>
  <c r="H13"/>
  <c r="H12"/>
  <c r="H11"/>
  <c r="H10"/>
  <c r="H9"/>
  <c r="H8"/>
  <c r="H7"/>
  <c r="H6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N42" i="27"/>
  <c r="O42"/>
  <c r="P42"/>
  <c r="Q42"/>
  <c r="R42"/>
  <c r="S42"/>
  <c r="N41"/>
  <c r="O41"/>
  <c r="P41"/>
  <c r="Q41"/>
  <c r="R41"/>
  <c r="S41"/>
  <c r="N40"/>
  <c r="O40"/>
  <c r="P40"/>
  <c r="Q40"/>
  <c r="R40"/>
  <c r="S40"/>
  <c r="N39"/>
  <c r="O39"/>
  <c r="P39"/>
  <c r="Q39"/>
  <c r="R39"/>
  <c r="S39"/>
  <c r="N37"/>
  <c r="O37"/>
  <c r="P37"/>
  <c r="Q37"/>
  <c r="R37"/>
  <c r="S37"/>
  <c r="N17"/>
  <c r="O17"/>
  <c r="P17"/>
  <c r="Q17"/>
  <c r="R17"/>
  <c r="S17"/>
  <c r="N16"/>
  <c r="O16"/>
  <c r="P16"/>
  <c r="Q16"/>
  <c r="R16"/>
  <c r="S16"/>
  <c r="N15"/>
  <c r="O15"/>
  <c r="P15"/>
  <c r="Q15"/>
  <c r="R15"/>
  <c r="S15"/>
  <c r="N14"/>
  <c r="O14"/>
  <c r="P14"/>
  <c r="Q14"/>
  <c r="R14"/>
  <c r="S14"/>
  <c r="N13"/>
  <c r="O13"/>
  <c r="P13"/>
  <c r="Q13"/>
  <c r="R13"/>
  <c r="S13"/>
  <c r="N12"/>
  <c r="O12"/>
  <c r="P12"/>
  <c r="Q12"/>
  <c r="R12"/>
  <c r="S12"/>
  <c r="N11"/>
  <c r="O11"/>
  <c r="P11"/>
  <c r="Q11"/>
  <c r="R11"/>
  <c r="S11"/>
  <c r="N10"/>
  <c r="O10"/>
  <c r="P10"/>
  <c r="Q10"/>
  <c r="R10"/>
  <c r="S10"/>
  <c r="N9"/>
  <c r="O9"/>
  <c r="P9"/>
  <c r="Q9"/>
  <c r="R9"/>
  <c r="S9"/>
  <c r="N8"/>
  <c r="O8"/>
  <c r="P8"/>
  <c r="Q8"/>
  <c r="R8"/>
  <c r="S8"/>
  <c r="N7"/>
  <c r="O7"/>
  <c r="P7"/>
  <c r="Q7"/>
  <c r="R7"/>
  <c r="S7"/>
  <c r="N6"/>
  <c r="O6"/>
  <c r="P6"/>
  <c r="Q6"/>
  <c r="R6"/>
  <c r="S6"/>
  <c r="N36"/>
  <c r="O36"/>
  <c r="P36"/>
  <c r="Q36"/>
  <c r="R36"/>
  <c r="S36"/>
  <c r="N35"/>
  <c r="O35"/>
  <c r="P35"/>
  <c r="Q35"/>
  <c r="R35"/>
  <c r="S35"/>
  <c r="N34"/>
  <c r="O34"/>
  <c r="P34"/>
  <c r="Q34"/>
  <c r="R34"/>
  <c r="S34"/>
  <c r="N33"/>
  <c r="O33"/>
  <c r="P33"/>
  <c r="Q33"/>
  <c r="R33"/>
  <c r="S33"/>
  <c r="N32"/>
  <c r="O32"/>
  <c r="P32"/>
  <c r="Q32"/>
  <c r="R32"/>
  <c r="S32"/>
  <c r="N31"/>
  <c r="O31"/>
  <c r="P31"/>
  <c r="Q31"/>
  <c r="R31"/>
  <c r="S31"/>
  <c r="N30"/>
  <c r="O30"/>
  <c r="P30"/>
  <c r="Q30"/>
  <c r="R30"/>
  <c r="S30"/>
  <c r="N29"/>
  <c r="O29"/>
  <c r="P29"/>
  <c r="Q29"/>
  <c r="R29"/>
  <c r="S29"/>
  <c r="N28"/>
  <c r="O28"/>
  <c r="P28"/>
  <c r="Q28"/>
  <c r="R28"/>
  <c r="S28"/>
  <c r="N27"/>
  <c r="O27"/>
  <c r="P27"/>
  <c r="Q27"/>
  <c r="R27"/>
  <c r="S27"/>
  <c r="N26"/>
  <c r="O26"/>
  <c r="P26"/>
  <c r="Q26"/>
  <c r="R26"/>
  <c r="S26"/>
  <c r="N25"/>
  <c r="O25"/>
  <c r="P25"/>
  <c r="Q25"/>
  <c r="R25"/>
  <c r="S25"/>
  <c r="N24"/>
  <c r="O24"/>
  <c r="P24"/>
  <c r="Q24"/>
  <c r="R24"/>
  <c r="S24"/>
  <c r="N23"/>
  <c r="O23"/>
  <c r="P23"/>
  <c r="Q23"/>
  <c r="R23"/>
  <c r="S23"/>
  <c r="N22"/>
  <c r="O22"/>
  <c r="P22"/>
  <c r="Q22"/>
  <c r="R22"/>
  <c r="S22"/>
  <c r="N21"/>
  <c r="O21"/>
  <c r="P21"/>
  <c r="Q21"/>
  <c r="R21"/>
  <c r="S21"/>
  <c r="N20"/>
  <c r="O20"/>
  <c r="P20"/>
  <c r="Q20"/>
  <c r="R20"/>
  <c r="S20"/>
  <c r="N19"/>
  <c r="O19"/>
  <c r="P19"/>
  <c r="Q19"/>
  <c r="R19"/>
  <c r="S19"/>
  <c r="O36" i="22"/>
  <c r="O17"/>
  <c r="O41"/>
  <c r="O42"/>
  <c r="C36"/>
  <c r="C17"/>
  <c r="C41"/>
  <c r="C42"/>
  <c r="P42"/>
  <c r="P41"/>
  <c r="P40"/>
  <c r="P39"/>
  <c r="O37"/>
  <c r="C37"/>
  <c r="P37"/>
  <c r="P17"/>
  <c r="P16"/>
  <c r="P15"/>
  <c r="P14"/>
  <c r="P13"/>
  <c r="P12"/>
  <c r="P11"/>
  <c r="P10"/>
  <c r="P9"/>
  <c r="P8"/>
  <c r="P7"/>
  <c r="P6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C41" i="27"/>
  <c r="C17"/>
  <c r="C36"/>
  <c r="C42"/>
  <c r="I19" i="22"/>
  <c r="I20"/>
  <c r="I21"/>
  <c r="I22"/>
  <c r="I23"/>
  <c r="I24"/>
  <c r="I25"/>
  <c r="I27"/>
  <c r="I28"/>
  <c r="I29"/>
  <c r="I30"/>
  <c r="I31"/>
  <c r="I32"/>
  <c r="I33"/>
  <c r="I34"/>
  <c r="I35"/>
  <c r="I6"/>
  <c r="I7"/>
  <c r="I8"/>
  <c r="I9"/>
  <c r="I10"/>
  <c r="I11"/>
  <c r="I12"/>
  <c r="I13"/>
  <c r="I14"/>
  <c r="I15"/>
  <c r="I16"/>
  <c r="I39"/>
  <c r="I40"/>
  <c r="K40" i="23"/>
  <c r="J40"/>
  <c r="I40"/>
  <c r="M39"/>
  <c r="L39"/>
  <c r="K39"/>
  <c r="K41"/>
  <c r="J39"/>
  <c r="I39"/>
  <c r="I41"/>
  <c r="M16"/>
  <c r="L16"/>
  <c r="K16"/>
  <c r="J16"/>
  <c r="I16"/>
  <c r="N16"/>
  <c r="M15"/>
  <c r="L15"/>
  <c r="K15"/>
  <c r="J15"/>
  <c r="I15"/>
  <c r="M14"/>
  <c r="L14"/>
  <c r="K14"/>
  <c r="J14"/>
  <c r="I14"/>
  <c r="N14"/>
  <c r="M13"/>
  <c r="L13"/>
  <c r="K13"/>
  <c r="J13"/>
  <c r="I13"/>
  <c r="M12"/>
  <c r="L12"/>
  <c r="K12"/>
  <c r="J12"/>
  <c r="I12"/>
  <c r="N12"/>
  <c r="M11"/>
  <c r="L11"/>
  <c r="K11"/>
  <c r="J11"/>
  <c r="I11"/>
  <c r="M10"/>
  <c r="L10"/>
  <c r="K10"/>
  <c r="J10"/>
  <c r="I10"/>
  <c r="N10"/>
  <c r="M9"/>
  <c r="L9"/>
  <c r="K9"/>
  <c r="J9"/>
  <c r="I9"/>
  <c r="M8"/>
  <c r="L8"/>
  <c r="K8"/>
  <c r="J8"/>
  <c r="I8"/>
  <c r="N8"/>
  <c r="M7"/>
  <c r="L7"/>
  <c r="K7"/>
  <c r="J7"/>
  <c r="I7"/>
  <c r="M6"/>
  <c r="M17"/>
  <c r="L6"/>
  <c r="K6"/>
  <c r="K17"/>
  <c r="J6"/>
  <c r="I6"/>
  <c r="I17"/>
  <c r="M35"/>
  <c r="L35"/>
  <c r="K35"/>
  <c r="J35"/>
  <c r="I35"/>
  <c r="N35"/>
  <c r="M34"/>
  <c r="L34"/>
  <c r="K34"/>
  <c r="J34"/>
  <c r="I34"/>
  <c r="M33"/>
  <c r="L33"/>
  <c r="K33"/>
  <c r="J33"/>
  <c r="I33"/>
  <c r="N33"/>
  <c r="M32"/>
  <c r="L32"/>
  <c r="K32"/>
  <c r="J32"/>
  <c r="I32"/>
  <c r="M31"/>
  <c r="L31"/>
  <c r="K31"/>
  <c r="J31"/>
  <c r="I31"/>
  <c r="N31"/>
  <c r="M30"/>
  <c r="L30"/>
  <c r="K30"/>
  <c r="J30"/>
  <c r="I30"/>
  <c r="M29"/>
  <c r="L29"/>
  <c r="K29"/>
  <c r="J29"/>
  <c r="I29"/>
  <c r="N29"/>
  <c r="M28"/>
  <c r="L28"/>
  <c r="K28"/>
  <c r="J28"/>
  <c r="I28"/>
  <c r="M27"/>
  <c r="L27"/>
  <c r="K27"/>
  <c r="J27"/>
  <c r="I27"/>
  <c r="M26"/>
  <c r="L26"/>
  <c r="K26"/>
  <c r="J26"/>
  <c r="I26"/>
  <c r="N26"/>
  <c r="M25"/>
  <c r="L25"/>
  <c r="K25"/>
  <c r="J25"/>
  <c r="I25"/>
  <c r="M24"/>
  <c r="L24"/>
  <c r="K24"/>
  <c r="J24"/>
  <c r="I24"/>
  <c r="N24"/>
  <c r="M23"/>
  <c r="L23"/>
  <c r="K23"/>
  <c r="J23"/>
  <c r="I23"/>
  <c r="M22"/>
  <c r="L22"/>
  <c r="K22"/>
  <c r="J22"/>
  <c r="I22"/>
  <c r="N22"/>
  <c r="M21"/>
  <c r="L21"/>
  <c r="K21"/>
  <c r="J21"/>
  <c r="I21"/>
  <c r="M20"/>
  <c r="L20"/>
  <c r="K20"/>
  <c r="J20"/>
  <c r="I20"/>
  <c r="N20"/>
  <c r="M19"/>
  <c r="M36"/>
  <c r="M37"/>
  <c r="L19"/>
  <c r="K19"/>
  <c r="K36"/>
  <c r="K37"/>
  <c r="K42"/>
  <c r="J19"/>
  <c r="I19"/>
  <c r="I36"/>
  <c r="I37"/>
  <c r="I42"/>
  <c r="H41" i="22"/>
  <c r="G41"/>
  <c r="F41"/>
  <c r="E41"/>
  <c r="D41"/>
  <c r="I41"/>
  <c r="N41"/>
  <c r="L41"/>
  <c r="J41"/>
  <c r="H17"/>
  <c r="G17"/>
  <c r="F17"/>
  <c r="E17"/>
  <c r="D17"/>
  <c r="I17"/>
  <c r="N17"/>
  <c r="L17"/>
  <c r="J17"/>
  <c r="H36"/>
  <c r="H37"/>
  <c r="G36"/>
  <c r="G42"/>
  <c r="F36"/>
  <c r="F37"/>
  <c r="E26"/>
  <c r="E36"/>
  <c r="D26"/>
  <c r="M36"/>
  <c r="L40" i="20"/>
  <c r="K40"/>
  <c r="J40"/>
  <c r="I40"/>
  <c r="H40"/>
  <c r="G40"/>
  <c r="Q40"/>
  <c r="F40"/>
  <c r="P40"/>
  <c r="E40"/>
  <c r="O40"/>
  <c r="D40"/>
  <c r="N40"/>
  <c r="C40"/>
  <c r="M40"/>
  <c r="Q39"/>
  <c r="P39"/>
  <c r="O39"/>
  <c r="N39"/>
  <c r="M39"/>
  <c r="Q38"/>
  <c r="P38"/>
  <c r="O38"/>
  <c r="N38"/>
  <c r="M38"/>
  <c r="L36"/>
  <c r="K36"/>
  <c r="J36"/>
  <c r="I36"/>
  <c r="H36"/>
  <c r="G36"/>
  <c r="Q36"/>
  <c r="F36"/>
  <c r="P36"/>
  <c r="E36"/>
  <c r="O36"/>
  <c r="D36"/>
  <c r="N36"/>
  <c r="C36"/>
  <c r="M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L17"/>
  <c r="L42"/>
  <c r="K17"/>
  <c r="K42"/>
  <c r="J17"/>
  <c r="J42"/>
  <c r="I17"/>
  <c r="I42"/>
  <c r="H17"/>
  <c r="H42"/>
  <c r="G17"/>
  <c r="G42"/>
  <c r="F17"/>
  <c r="F42"/>
  <c r="E17"/>
  <c r="E42"/>
  <c r="D17"/>
  <c r="D42"/>
  <c r="C17"/>
  <c r="C42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D40" i="19"/>
  <c r="E40"/>
  <c r="F40"/>
  <c r="G40"/>
  <c r="D36"/>
  <c r="E36"/>
  <c r="F36"/>
  <c r="G36"/>
  <c r="E17"/>
  <c r="F17"/>
  <c r="G17"/>
  <c r="C40"/>
  <c r="C36"/>
  <c r="D17"/>
  <c r="C17"/>
  <c r="N19" i="23"/>
  <c r="L36"/>
  <c r="N21"/>
  <c r="N23"/>
  <c r="N25"/>
  <c r="N27"/>
  <c r="N28"/>
  <c r="N30"/>
  <c r="N32"/>
  <c r="N34"/>
  <c r="J17"/>
  <c r="L17"/>
  <c r="N7"/>
  <c r="N9"/>
  <c r="N11"/>
  <c r="N13"/>
  <c r="N15"/>
  <c r="J41"/>
  <c r="C37" i="27"/>
  <c r="I26" i="22"/>
  <c r="K17"/>
  <c r="M17"/>
  <c r="K41"/>
  <c r="M41"/>
  <c r="J36"/>
  <c r="J37"/>
  <c r="L36"/>
  <c r="L37"/>
  <c r="N36"/>
  <c r="N37"/>
  <c r="J36" i="23"/>
  <c r="J37"/>
  <c r="J42"/>
  <c r="N6"/>
  <c r="N17"/>
  <c r="N39"/>
  <c r="L40"/>
  <c r="M40"/>
  <c r="N40"/>
  <c r="M41"/>
  <c r="M42"/>
  <c r="J42" i="22"/>
  <c r="L42"/>
  <c r="N42"/>
  <c r="E42"/>
  <c r="E37"/>
  <c r="M42"/>
  <c r="M37"/>
  <c r="D36"/>
  <c r="I36"/>
  <c r="G37"/>
  <c r="F42"/>
  <c r="H42"/>
  <c r="N42" i="20"/>
  <c r="P42"/>
  <c r="M42"/>
  <c r="O42"/>
  <c r="Q42"/>
  <c r="M17"/>
  <c r="O17"/>
  <c r="Q17"/>
  <c r="N17"/>
  <c r="P17"/>
  <c r="D42" i="19"/>
  <c r="F42"/>
  <c r="G42"/>
  <c r="C42"/>
  <c r="E42"/>
  <c r="L40" i="18"/>
  <c r="K40"/>
  <c r="J40"/>
  <c r="I40"/>
  <c r="H40"/>
  <c r="G40"/>
  <c r="Q40"/>
  <c r="F40"/>
  <c r="P40"/>
  <c r="E40"/>
  <c r="O40"/>
  <c r="D40"/>
  <c r="N40"/>
  <c r="C40"/>
  <c r="M40"/>
  <c r="Q39"/>
  <c r="P39"/>
  <c r="O39"/>
  <c r="N39"/>
  <c r="M39"/>
  <c r="Q38"/>
  <c r="P38"/>
  <c r="O38"/>
  <c r="N38"/>
  <c r="M38"/>
  <c r="L36"/>
  <c r="K36"/>
  <c r="J36"/>
  <c r="I36"/>
  <c r="H36"/>
  <c r="G36"/>
  <c r="Q36"/>
  <c r="F36"/>
  <c r="P36"/>
  <c r="E36"/>
  <c r="O36"/>
  <c r="D36"/>
  <c r="N36"/>
  <c r="C36"/>
  <c r="M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L17"/>
  <c r="L42"/>
  <c r="K17"/>
  <c r="K42"/>
  <c r="J17"/>
  <c r="J42"/>
  <c r="I17"/>
  <c r="I42"/>
  <c r="H17"/>
  <c r="H42"/>
  <c r="G17"/>
  <c r="G42"/>
  <c r="F17"/>
  <c r="F42"/>
  <c r="P42"/>
  <c r="E17"/>
  <c r="E42"/>
  <c r="O42"/>
  <c r="D17"/>
  <c r="D42"/>
  <c r="N42"/>
  <c r="C17"/>
  <c r="C42"/>
  <c r="M42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H17" i="17"/>
  <c r="I17"/>
  <c r="J17"/>
  <c r="K17"/>
  <c r="L17"/>
  <c r="M19"/>
  <c r="N19"/>
  <c r="O19"/>
  <c r="P19"/>
  <c r="Q19"/>
  <c r="M20"/>
  <c r="N20"/>
  <c r="O20"/>
  <c r="P20"/>
  <c r="Q20"/>
  <c r="M21"/>
  <c r="N21"/>
  <c r="O21"/>
  <c r="P21"/>
  <c r="Q21"/>
  <c r="M22"/>
  <c r="N22"/>
  <c r="O22"/>
  <c r="P22"/>
  <c r="Q22"/>
  <c r="M23"/>
  <c r="N23"/>
  <c r="O23"/>
  <c r="P23"/>
  <c r="Q23"/>
  <c r="M24"/>
  <c r="N24"/>
  <c r="O24"/>
  <c r="P24"/>
  <c r="Q24"/>
  <c r="M25"/>
  <c r="N25"/>
  <c r="O25"/>
  <c r="P25"/>
  <c r="Q25"/>
  <c r="M26"/>
  <c r="N26"/>
  <c r="O26"/>
  <c r="P26"/>
  <c r="Q26"/>
  <c r="M27"/>
  <c r="N27"/>
  <c r="O27"/>
  <c r="P27"/>
  <c r="Q27"/>
  <c r="M28"/>
  <c r="N28"/>
  <c r="O28"/>
  <c r="P28"/>
  <c r="Q28"/>
  <c r="M29"/>
  <c r="N29"/>
  <c r="O29"/>
  <c r="P29"/>
  <c r="Q29"/>
  <c r="M30"/>
  <c r="N30"/>
  <c r="O30"/>
  <c r="P30"/>
  <c r="Q30"/>
  <c r="M31"/>
  <c r="N31"/>
  <c r="O31"/>
  <c r="P31"/>
  <c r="Q31"/>
  <c r="M32"/>
  <c r="N32"/>
  <c r="O32"/>
  <c r="P32"/>
  <c r="Q32"/>
  <c r="M33"/>
  <c r="N33"/>
  <c r="O33"/>
  <c r="P33"/>
  <c r="Q33"/>
  <c r="M34"/>
  <c r="N34"/>
  <c r="O34"/>
  <c r="P34"/>
  <c r="Q34"/>
  <c r="M35"/>
  <c r="N35"/>
  <c r="O35"/>
  <c r="P35"/>
  <c r="Q35"/>
  <c r="C36"/>
  <c r="D36"/>
  <c r="N36"/>
  <c r="E36"/>
  <c r="F36"/>
  <c r="P36"/>
  <c r="G36"/>
  <c r="H36"/>
  <c r="I36"/>
  <c r="J36"/>
  <c r="K36"/>
  <c r="L36"/>
  <c r="M38"/>
  <c r="N38"/>
  <c r="O38"/>
  <c r="P38"/>
  <c r="Q38"/>
  <c r="M39"/>
  <c r="N39"/>
  <c r="O39"/>
  <c r="P39"/>
  <c r="Q39"/>
  <c r="C40"/>
  <c r="D40"/>
  <c r="E40"/>
  <c r="F40"/>
  <c r="G40"/>
  <c r="H40"/>
  <c r="I40"/>
  <c r="J40"/>
  <c r="K40"/>
  <c r="L40"/>
  <c r="M40"/>
  <c r="H42"/>
  <c r="J42"/>
  <c r="L42"/>
  <c r="L40" i="15"/>
  <c r="K40"/>
  <c r="J40"/>
  <c r="I40"/>
  <c r="H40"/>
  <c r="Q39"/>
  <c r="P39"/>
  <c r="O39"/>
  <c r="N39"/>
  <c r="M39"/>
  <c r="F40"/>
  <c r="P40"/>
  <c r="D40"/>
  <c r="N40"/>
  <c r="L36"/>
  <c r="K36"/>
  <c r="J36"/>
  <c r="I36"/>
  <c r="H36"/>
  <c r="Q35"/>
  <c r="P35"/>
  <c r="O35"/>
  <c r="N35"/>
  <c r="M35"/>
  <c r="Q34"/>
  <c r="O34"/>
  <c r="P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P19"/>
  <c r="E36"/>
  <c r="O36"/>
  <c r="C36"/>
  <c r="M36"/>
  <c r="L17"/>
  <c r="L42"/>
  <c r="K17"/>
  <c r="K42"/>
  <c r="J17"/>
  <c r="J42"/>
  <c r="I17"/>
  <c r="I42"/>
  <c r="H17"/>
  <c r="H42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O9"/>
  <c r="P9"/>
  <c r="N9"/>
  <c r="M9"/>
  <c r="Q8"/>
  <c r="P8"/>
  <c r="O8"/>
  <c r="N8"/>
  <c r="M8"/>
  <c r="Q7"/>
  <c r="P7"/>
  <c r="O7"/>
  <c r="N7"/>
  <c r="M7"/>
  <c r="G17"/>
  <c r="E17"/>
  <c r="C17"/>
  <c r="G40" i="13"/>
  <c r="Q40"/>
  <c r="F40"/>
  <c r="P40"/>
  <c r="E40"/>
  <c r="O40"/>
  <c r="D40"/>
  <c r="N40"/>
  <c r="C40"/>
  <c r="M40"/>
  <c r="Q39"/>
  <c r="P39"/>
  <c r="O39"/>
  <c r="N39"/>
  <c r="M39"/>
  <c r="Q38"/>
  <c r="P38"/>
  <c r="O38"/>
  <c r="N38"/>
  <c r="M38"/>
  <c r="G36"/>
  <c r="Q36"/>
  <c r="F36"/>
  <c r="P36"/>
  <c r="E36"/>
  <c r="O36"/>
  <c r="D36"/>
  <c r="N36"/>
  <c r="C36"/>
  <c r="M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D17"/>
  <c r="D42"/>
  <c r="N42"/>
  <c r="C17"/>
  <c r="C42"/>
  <c r="M42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P11"/>
  <c r="N11"/>
  <c r="M11"/>
  <c r="G17"/>
  <c r="F17"/>
  <c r="E17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L40" i="12"/>
  <c r="K40"/>
  <c r="J40"/>
  <c r="I40"/>
  <c r="H40"/>
  <c r="D40"/>
  <c r="N40"/>
  <c r="C40"/>
  <c r="M40"/>
  <c r="Q39"/>
  <c r="P39"/>
  <c r="O39"/>
  <c r="N39"/>
  <c r="M39"/>
  <c r="P38"/>
  <c r="N38"/>
  <c r="M38"/>
  <c r="G40"/>
  <c r="Q40"/>
  <c r="F40"/>
  <c r="P40"/>
  <c r="E40"/>
  <c r="O40"/>
  <c r="L36"/>
  <c r="K36"/>
  <c r="J36"/>
  <c r="I36"/>
  <c r="H36"/>
  <c r="G36"/>
  <c r="Q36"/>
  <c r="F36"/>
  <c r="P36"/>
  <c r="E36"/>
  <c r="O36"/>
  <c r="D36"/>
  <c r="N36"/>
  <c r="C36"/>
  <c r="M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D17"/>
  <c r="D42"/>
  <c r="N42"/>
  <c r="C17"/>
  <c r="M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N11"/>
  <c r="M11"/>
  <c r="Q11"/>
  <c r="P11"/>
  <c r="O11"/>
  <c r="Q10"/>
  <c r="P10"/>
  <c r="O10"/>
  <c r="N10"/>
  <c r="M10"/>
  <c r="N9"/>
  <c r="M9"/>
  <c r="G17"/>
  <c r="P9"/>
  <c r="E17"/>
  <c r="Q8"/>
  <c r="P8"/>
  <c r="O8"/>
  <c r="N8"/>
  <c r="M8"/>
  <c r="Q7"/>
  <c r="P7"/>
  <c r="O7"/>
  <c r="N7"/>
  <c r="M7"/>
  <c r="Q6"/>
  <c r="P6"/>
  <c r="O6"/>
  <c r="N6"/>
  <c r="M6"/>
  <c r="K40" i="11"/>
  <c r="J40"/>
  <c r="I40"/>
  <c r="H40"/>
  <c r="D40"/>
  <c r="N40"/>
  <c r="C40"/>
  <c r="M40"/>
  <c r="P39"/>
  <c r="O39"/>
  <c r="N39"/>
  <c r="M39"/>
  <c r="P38"/>
  <c r="N38"/>
  <c r="M38"/>
  <c r="F40"/>
  <c r="P40"/>
  <c r="E40"/>
  <c r="O40"/>
  <c r="K36"/>
  <c r="J36"/>
  <c r="I36"/>
  <c r="H36"/>
  <c r="Q36"/>
  <c r="F36"/>
  <c r="P36"/>
  <c r="E36"/>
  <c r="O36"/>
  <c r="D36"/>
  <c r="N36"/>
  <c r="C36"/>
  <c r="M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K17"/>
  <c r="K42"/>
  <c r="J17"/>
  <c r="J42"/>
  <c r="I17"/>
  <c r="I42"/>
  <c r="H17"/>
  <c r="H42"/>
  <c r="D17"/>
  <c r="D42"/>
  <c r="N42"/>
  <c r="C17"/>
  <c r="M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N11"/>
  <c r="M11"/>
  <c r="Q11"/>
  <c r="P11"/>
  <c r="O11"/>
  <c r="Q10"/>
  <c r="P10"/>
  <c r="O10"/>
  <c r="N10"/>
  <c r="M10"/>
  <c r="N9"/>
  <c r="M9"/>
  <c r="P9"/>
  <c r="E17"/>
  <c r="Q8"/>
  <c r="P8"/>
  <c r="O8"/>
  <c r="N8"/>
  <c r="M8"/>
  <c r="Q7"/>
  <c r="P7"/>
  <c r="O7"/>
  <c r="N7"/>
  <c r="M7"/>
  <c r="Q6"/>
  <c r="P6"/>
  <c r="O6"/>
  <c r="N6"/>
  <c r="M6"/>
  <c r="I40" i="10"/>
  <c r="D40"/>
  <c r="N40"/>
  <c r="H40"/>
  <c r="C40"/>
  <c r="M40"/>
  <c r="G40"/>
  <c r="F40"/>
  <c r="E40"/>
  <c r="N39"/>
  <c r="M39"/>
  <c r="N38"/>
  <c r="M38"/>
  <c r="I36"/>
  <c r="D36"/>
  <c r="N36"/>
  <c r="H36"/>
  <c r="C36"/>
  <c r="M36"/>
  <c r="E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I17"/>
  <c r="D17"/>
  <c r="N17"/>
  <c r="H17"/>
  <c r="H42"/>
  <c r="D42"/>
  <c r="C17"/>
  <c r="C42"/>
  <c r="N16"/>
  <c r="M16"/>
  <c r="N14"/>
  <c r="M14"/>
  <c r="N13"/>
  <c r="M13"/>
  <c r="N12"/>
  <c r="M12"/>
  <c r="N11"/>
  <c r="M11"/>
  <c r="N10"/>
  <c r="M10"/>
  <c r="N9"/>
  <c r="M9"/>
  <c r="N8"/>
  <c r="M8"/>
  <c r="N7"/>
  <c r="M7"/>
  <c r="N6"/>
  <c r="M6"/>
  <c r="G40" i="9"/>
  <c r="F40"/>
  <c r="E40"/>
  <c r="D40"/>
  <c r="C40"/>
  <c r="Q39"/>
  <c r="P39"/>
  <c r="O39"/>
  <c r="N39"/>
  <c r="M39"/>
  <c r="L40"/>
  <c r="P38"/>
  <c r="J40"/>
  <c r="H40"/>
  <c r="G36"/>
  <c r="F36"/>
  <c r="E36"/>
  <c r="D36"/>
  <c r="C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D17"/>
  <c r="C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P9"/>
  <c r="N9"/>
  <c r="M9"/>
  <c r="G17"/>
  <c r="E17"/>
  <c r="Q8"/>
  <c r="P8"/>
  <c r="O8"/>
  <c r="N8"/>
  <c r="M8"/>
  <c r="Q7"/>
  <c r="P7"/>
  <c r="O7"/>
  <c r="N7"/>
  <c r="M7"/>
  <c r="Q6"/>
  <c r="O6"/>
  <c r="M6"/>
  <c r="L40" i="8"/>
  <c r="K40"/>
  <c r="J40"/>
  <c r="I40"/>
  <c r="H40"/>
  <c r="G40"/>
  <c r="Q40"/>
  <c r="F40"/>
  <c r="P40"/>
  <c r="E40"/>
  <c r="O40"/>
  <c r="D40"/>
  <c r="N40"/>
  <c r="C40"/>
  <c r="M40"/>
  <c r="Q39"/>
  <c r="P39"/>
  <c r="O39"/>
  <c r="N39"/>
  <c r="M39"/>
  <c r="Q38"/>
  <c r="P38"/>
  <c r="O38"/>
  <c r="N38"/>
  <c r="M38"/>
  <c r="L36"/>
  <c r="K36"/>
  <c r="J36"/>
  <c r="I36"/>
  <c r="H36"/>
  <c r="D36"/>
  <c r="N36"/>
  <c r="C36"/>
  <c r="M36"/>
  <c r="Q35"/>
  <c r="O35"/>
  <c r="N35"/>
  <c r="M35"/>
  <c r="P35"/>
  <c r="Q34"/>
  <c r="P34"/>
  <c r="O34"/>
  <c r="N34"/>
  <c r="M34"/>
  <c r="P33"/>
  <c r="N33"/>
  <c r="M33"/>
  <c r="Q33"/>
  <c r="O33"/>
  <c r="Q32"/>
  <c r="P32"/>
  <c r="O32"/>
  <c r="N32"/>
  <c r="M32"/>
  <c r="Q31"/>
  <c r="P31"/>
  <c r="O31"/>
  <c r="N31"/>
  <c r="M31"/>
  <c r="Q30"/>
  <c r="P30"/>
  <c r="O30"/>
  <c r="N30"/>
  <c r="M30"/>
  <c r="Q29"/>
  <c r="O29"/>
  <c r="N29"/>
  <c r="M29"/>
  <c r="P29"/>
  <c r="Q28"/>
  <c r="O28"/>
  <c r="N28"/>
  <c r="M28"/>
  <c r="P28"/>
  <c r="Q27"/>
  <c r="P27"/>
  <c r="O27"/>
  <c r="N27"/>
  <c r="M27"/>
  <c r="Q26"/>
  <c r="P26"/>
  <c r="O26"/>
  <c r="N26"/>
  <c r="M26"/>
  <c r="Q25"/>
  <c r="N25"/>
  <c r="M25"/>
  <c r="P25"/>
  <c r="O25"/>
  <c r="P24"/>
  <c r="N24"/>
  <c r="M24"/>
  <c r="Q24"/>
  <c r="O24"/>
  <c r="Q23"/>
  <c r="P23"/>
  <c r="O23"/>
  <c r="N23"/>
  <c r="M23"/>
  <c r="Q22"/>
  <c r="P22"/>
  <c r="O22"/>
  <c r="N22"/>
  <c r="M22"/>
  <c r="Q21"/>
  <c r="P21"/>
  <c r="O21"/>
  <c r="N21"/>
  <c r="M21"/>
  <c r="Q20"/>
  <c r="O20"/>
  <c r="N20"/>
  <c r="M20"/>
  <c r="G36"/>
  <c r="Q36"/>
  <c r="F36"/>
  <c r="P36"/>
  <c r="E36"/>
  <c r="O36"/>
  <c r="Q19"/>
  <c r="P19"/>
  <c r="O19"/>
  <c r="N19"/>
  <c r="M19"/>
  <c r="I42"/>
  <c r="H42"/>
  <c r="D17"/>
  <c r="D42"/>
  <c r="N42"/>
  <c r="C17"/>
  <c r="C42"/>
  <c r="M42"/>
  <c r="Q16"/>
  <c r="P16"/>
  <c r="O16"/>
  <c r="N16"/>
  <c r="M16"/>
  <c r="P15"/>
  <c r="N15"/>
  <c r="M15"/>
  <c r="Q15"/>
  <c r="O15"/>
  <c r="P14"/>
  <c r="N14"/>
  <c r="M14"/>
  <c r="Q14"/>
  <c r="O14"/>
  <c r="Q13"/>
  <c r="P13"/>
  <c r="O13"/>
  <c r="N13"/>
  <c r="M13"/>
  <c r="Q12"/>
  <c r="P12"/>
  <c r="O12"/>
  <c r="N12"/>
  <c r="M12"/>
  <c r="Q11"/>
  <c r="P11"/>
  <c r="O11"/>
  <c r="N11"/>
  <c r="M11"/>
  <c r="N10"/>
  <c r="M10"/>
  <c r="Q10"/>
  <c r="P10"/>
  <c r="O10"/>
  <c r="N9"/>
  <c r="M9"/>
  <c r="L42"/>
  <c r="K42"/>
  <c r="J42"/>
  <c r="Q9"/>
  <c r="P9"/>
  <c r="O9"/>
  <c r="P8"/>
  <c r="N8"/>
  <c r="M8"/>
  <c r="G17"/>
  <c r="F17"/>
  <c r="E17"/>
  <c r="Q7"/>
  <c r="P7"/>
  <c r="O7"/>
  <c r="N7"/>
  <c r="M7"/>
  <c r="Q6"/>
  <c r="P6"/>
  <c r="O6"/>
  <c r="N6"/>
  <c r="M6"/>
  <c r="L40" i="7"/>
  <c r="K40"/>
  <c r="J40"/>
  <c r="I40"/>
  <c r="H40"/>
  <c r="G40"/>
  <c r="Q40"/>
  <c r="F40"/>
  <c r="P40"/>
  <c r="E40"/>
  <c r="O40"/>
  <c r="D40"/>
  <c r="N40"/>
  <c r="C40"/>
  <c r="M40"/>
  <c r="Q39"/>
  <c r="P39"/>
  <c r="O39"/>
  <c r="N39"/>
  <c r="M39"/>
  <c r="Q38"/>
  <c r="P38"/>
  <c r="O38"/>
  <c r="N38"/>
  <c r="M38"/>
  <c r="L36"/>
  <c r="K36"/>
  <c r="J36"/>
  <c r="I36"/>
  <c r="H36"/>
  <c r="D36"/>
  <c r="N36"/>
  <c r="C36"/>
  <c r="M36"/>
  <c r="Q35"/>
  <c r="P35"/>
  <c r="O35"/>
  <c r="N35"/>
  <c r="M35"/>
  <c r="Q34"/>
  <c r="P34"/>
  <c r="O34"/>
  <c r="N34"/>
  <c r="M34"/>
  <c r="Q33"/>
  <c r="O33"/>
  <c r="N33"/>
  <c r="M33"/>
  <c r="P33"/>
  <c r="Q32"/>
  <c r="P32"/>
  <c r="O32"/>
  <c r="N32"/>
  <c r="M32"/>
  <c r="Q31"/>
  <c r="P31"/>
  <c r="O31"/>
  <c r="N31"/>
  <c r="M31"/>
  <c r="Q30"/>
  <c r="P30"/>
  <c r="O30"/>
  <c r="N30"/>
  <c r="M30"/>
  <c r="P29"/>
  <c r="N29"/>
  <c r="M29"/>
  <c r="Q29"/>
  <c r="O29"/>
  <c r="P28"/>
  <c r="N28"/>
  <c r="M28"/>
  <c r="Q28"/>
  <c r="O28"/>
  <c r="Q27"/>
  <c r="P27"/>
  <c r="O27"/>
  <c r="N27"/>
  <c r="M27"/>
  <c r="Q26"/>
  <c r="P26"/>
  <c r="O26"/>
  <c r="N26"/>
  <c r="M26"/>
  <c r="M25"/>
  <c r="Q24"/>
  <c r="O24"/>
  <c r="N24"/>
  <c r="M24"/>
  <c r="P24"/>
  <c r="Q23"/>
  <c r="P23"/>
  <c r="O23"/>
  <c r="N23"/>
  <c r="M23"/>
  <c r="Q22"/>
  <c r="P22"/>
  <c r="O22"/>
  <c r="N22"/>
  <c r="M22"/>
  <c r="Q21"/>
  <c r="P21"/>
  <c r="O21"/>
  <c r="N21"/>
  <c r="M21"/>
  <c r="P20"/>
  <c r="N20"/>
  <c r="M20"/>
  <c r="G36"/>
  <c r="Q36"/>
  <c r="F36"/>
  <c r="P36"/>
  <c r="E36"/>
  <c r="O36"/>
  <c r="Q19"/>
  <c r="P19"/>
  <c r="O19"/>
  <c r="N19"/>
  <c r="M19"/>
  <c r="L17"/>
  <c r="L42"/>
  <c r="K17"/>
  <c r="K42"/>
  <c r="J17"/>
  <c r="J42"/>
  <c r="I17"/>
  <c r="I42"/>
  <c r="H17"/>
  <c r="H42"/>
  <c r="D17"/>
  <c r="D42"/>
  <c r="N42"/>
  <c r="C17"/>
  <c r="M17"/>
  <c r="Q16"/>
  <c r="P16"/>
  <c r="O16"/>
  <c r="N16"/>
  <c r="M16"/>
  <c r="Q15"/>
  <c r="O15"/>
  <c r="N15"/>
  <c r="M15"/>
  <c r="P15"/>
  <c r="Q14"/>
  <c r="O14"/>
  <c r="N14"/>
  <c r="M14"/>
  <c r="P14"/>
  <c r="Q13"/>
  <c r="P13"/>
  <c r="O13"/>
  <c r="N13"/>
  <c r="M13"/>
  <c r="Q12"/>
  <c r="P12"/>
  <c r="O12"/>
  <c r="N12"/>
  <c r="M12"/>
  <c r="Q11"/>
  <c r="P11"/>
  <c r="O11"/>
  <c r="N11"/>
  <c r="M11"/>
  <c r="P10"/>
  <c r="N10"/>
  <c r="M10"/>
  <c r="Q10"/>
  <c r="O10"/>
  <c r="P9"/>
  <c r="N9"/>
  <c r="M9"/>
  <c r="Q9"/>
  <c r="O9"/>
  <c r="P8"/>
  <c r="N8"/>
  <c r="M8"/>
  <c r="G17"/>
  <c r="F17"/>
  <c r="E17"/>
  <c r="Q7"/>
  <c r="P7"/>
  <c r="O7"/>
  <c r="N7"/>
  <c r="M7"/>
  <c r="Q6"/>
  <c r="P6"/>
  <c r="O6"/>
  <c r="N6"/>
  <c r="M6"/>
  <c r="I40" i="6"/>
  <c r="H40"/>
  <c r="G40"/>
  <c r="F40"/>
  <c r="E40"/>
  <c r="C40"/>
  <c r="M40"/>
  <c r="Q39"/>
  <c r="P39"/>
  <c r="O39"/>
  <c r="N39"/>
  <c r="M39"/>
  <c r="Q38"/>
  <c r="O38"/>
  <c r="N38"/>
  <c r="M38"/>
  <c r="L40"/>
  <c r="K40"/>
  <c r="J40"/>
  <c r="L36"/>
  <c r="K36"/>
  <c r="J36"/>
  <c r="I36"/>
  <c r="H36"/>
  <c r="P35"/>
  <c r="N35"/>
  <c r="M35"/>
  <c r="Q35"/>
  <c r="O35"/>
  <c r="P34"/>
  <c r="N34"/>
  <c r="M34"/>
  <c r="Q34"/>
  <c r="O34"/>
  <c r="P33"/>
  <c r="N33"/>
  <c r="M33"/>
  <c r="Q33"/>
  <c r="O33"/>
  <c r="Q32"/>
  <c r="P32"/>
  <c r="O32"/>
  <c r="N32"/>
  <c r="M32"/>
  <c r="Q31"/>
  <c r="P31"/>
  <c r="O31"/>
  <c r="N31"/>
  <c r="M31"/>
  <c r="Q30"/>
  <c r="P30"/>
  <c r="O30"/>
  <c r="N30"/>
  <c r="M30"/>
  <c r="Q29"/>
  <c r="O29"/>
  <c r="N29"/>
  <c r="M29"/>
  <c r="P29"/>
  <c r="Q28"/>
  <c r="O28"/>
  <c r="N28"/>
  <c r="M28"/>
  <c r="P28"/>
  <c r="Q27"/>
  <c r="P27"/>
  <c r="O27"/>
  <c r="N27"/>
  <c r="M27"/>
  <c r="Q26"/>
  <c r="P26"/>
  <c r="O26"/>
  <c r="N26"/>
  <c r="M26"/>
  <c r="Q25"/>
  <c r="N25"/>
  <c r="M25"/>
  <c r="P25"/>
  <c r="O25"/>
  <c r="P24"/>
  <c r="N24"/>
  <c r="M24"/>
  <c r="Q24"/>
  <c r="O24"/>
  <c r="Q23"/>
  <c r="P23"/>
  <c r="O23"/>
  <c r="N23"/>
  <c r="M23"/>
  <c r="Q22"/>
  <c r="P22"/>
  <c r="O22"/>
  <c r="N22"/>
  <c r="M22"/>
  <c r="Q21"/>
  <c r="P21"/>
  <c r="O21"/>
  <c r="N21"/>
  <c r="M21"/>
  <c r="P20"/>
  <c r="N20"/>
  <c r="G36"/>
  <c r="Q36"/>
  <c r="F36"/>
  <c r="P36"/>
  <c r="E36"/>
  <c r="O36"/>
  <c r="D36"/>
  <c r="N36"/>
  <c r="C36"/>
  <c r="M36"/>
  <c r="Q19"/>
  <c r="P19"/>
  <c r="O19"/>
  <c r="N19"/>
  <c r="M19"/>
  <c r="I17"/>
  <c r="I42"/>
  <c r="H17"/>
  <c r="H42"/>
  <c r="Q16"/>
  <c r="P16"/>
  <c r="O16"/>
  <c r="N16"/>
  <c r="M16"/>
  <c r="Q15"/>
  <c r="O15"/>
  <c r="N15"/>
  <c r="M15"/>
  <c r="P15"/>
  <c r="Q14"/>
  <c r="O14"/>
  <c r="M14"/>
  <c r="P14"/>
  <c r="N14"/>
  <c r="Q13"/>
  <c r="P13"/>
  <c r="O13"/>
  <c r="N13"/>
  <c r="M13"/>
  <c r="Q12"/>
  <c r="P12"/>
  <c r="O12"/>
  <c r="N12"/>
  <c r="M12"/>
  <c r="Q11"/>
  <c r="O11"/>
  <c r="N11"/>
  <c r="M11"/>
  <c r="L17"/>
  <c r="L42"/>
  <c r="K17"/>
  <c r="K42"/>
  <c r="J17"/>
  <c r="J42"/>
  <c r="Q10"/>
  <c r="O10"/>
  <c r="N10"/>
  <c r="M10"/>
  <c r="P10"/>
  <c r="Q9"/>
  <c r="P9"/>
  <c r="O9"/>
  <c r="N9"/>
  <c r="M9"/>
  <c r="P8"/>
  <c r="N8"/>
  <c r="G17"/>
  <c r="F17"/>
  <c r="E17"/>
  <c r="D17"/>
  <c r="C17"/>
  <c r="Q7"/>
  <c r="P7"/>
  <c r="O7"/>
  <c r="N7"/>
  <c r="M7"/>
  <c r="Q6"/>
  <c r="P6"/>
  <c r="O6"/>
  <c r="N6"/>
  <c r="M6"/>
  <c r="L42" i="5"/>
  <c r="K42"/>
  <c r="J42"/>
  <c r="I42"/>
  <c r="H42"/>
  <c r="L40"/>
  <c r="K40"/>
  <c r="J40"/>
  <c r="I40"/>
  <c r="H40"/>
  <c r="F40"/>
  <c r="P40"/>
  <c r="E40"/>
  <c r="O40"/>
  <c r="D40"/>
  <c r="N40"/>
  <c r="C40"/>
  <c r="M40"/>
  <c r="Q39"/>
  <c r="P39"/>
  <c r="O39"/>
  <c r="N39"/>
  <c r="M39"/>
  <c r="P38"/>
  <c r="O38"/>
  <c r="N38"/>
  <c r="M38"/>
  <c r="G38"/>
  <c r="G40"/>
  <c r="L36"/>
  <c r="K36"/>
  <c r="J36"/>
  <c r="I36"/>
  <c r="H36"/>
  <c r="G36"/>
  <c r="F36"/>
  <c r="E36"/>
  <c r="D36"/>
  <c r="C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L17"/>
  <c r="K17"/>
  <c r="J17"/>
  <c r="I17"/>
  <c r="H17"/>
  <c r="F17"/>
  <c r="F42"/>
  <c r="P42"/>
  <c r="E17"/>
  <c r="E42"/>
  <c r="O42"/>
  <c r="D17"/>
  <c r="D42"/>
  <c r="N42"/>
  <c r="C17"/>
  <c r="C42"/>
  <c r="M42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S42" i="4"/>
  <c r="R42"/>
  <c r="S40"/>
  <c r="R40"/>
  <c r="G40"/>
  <c r="F40"/>
  <c r="E40"/>
  <c r="D40"/>
  <c r="C40"/>
  <c r="S39"/>
  <c r="Q39"/>
  <c r="P39"/>
  <c r="O39"/>
  <c r="N39"/>
  <c r="M39"/>
  <c r="S38"/>
  <c r="L40"/>
  <c r="J40"/>
  <c r="H40"/>
  <c r="S36"/>
  <c r="R36"/>
  <c r="G36"/>
  <c r="F36"/>
  <c r="E36"/>
  <c r="D36"/>
  <c r="C36"/>
  <c r="S35"/>
  <c r="R35"/>
  <c r="Q35"/>
  <c r="P35"/>
  <c r="O35"/>
  <c r="N35"/>
  <c r="M35"/>
  <c r="S34"/>
  <c r="R34"/>
  <c r="Q34"/>
  <c r="P34"/>
  <c r="O34"/>
  <c r="N34"/>
  <c r="M34"/>
  <c r="S33"/>
  <c r="R33"/>
  <c r="Q33"/>
  <c r="P33"/>
  <c r="O33"/>
  <c r="N33"/>
  <c r="M33"/>
  <c r="S32"/>
  <c r="R32"/>
  <c r="Q32"/>
  <c r="P32"/>
  <c r="O32"/>
  <c r="N32"/>
  <c r="M32"/>
  <c r="S31"/>
  <c r="R31"/>
  <c r="Q31"/>
  <c r="P31"/>
  <c r="O31"/>
  <c r="N31"/>
  <c r="M31"/>
  <c r="S30"/>
  <c r="R30"/>
  <c r="Q30"/>
  <c r="P30"/>
  <c r="O30"/>
  <c r="N30"/>
  <c r="M30"/>
  <c r="S29"/>
  <c r="R29"/>
  <c r="Q29"/>
  <c r="P29"/>
  <c r="O29"/>
  <c r="N29"/>
  <c r="M29"/>
  <c r="S28"/>
  <c r="R28"/>
  <c r="Q28"/>
  <c r="P28"/>
  <c r="O28"/>
  <c r="N28"/>
  <c r="M28"/>
  <c r="S27"/>
  <c r="R27"/>
  <c r="Q27"/>
  <c r="P27"/>
  <c r="O27"/>
  <c r="N27"/>
  <c r="M27"/>
  <c r="S26"/>
  <c r="R26"/>
  <c r="Q26"/>
  <c r="P26"/>
  <c r="O26"/>
  <c r="N26"/>
  <c r="M26"/>
  <c r="S25"/>
  <c r="R25"/>
  <c r="Q25"/>
  <c r="P25"/>
  <c r="O25"/>
  <c r="N25"/>
  <c r="M25"/>
  <c r="S24"/>
  <c r="R24"/>
  <c r="Q24"/>
  <c r="P24"/>
  <c r="O24"/>
  <c r="N24"/>
  <c r="M24"/>
  <c r="S23"/>
  <c r="R23"/>
  <c r="Q23"/>
  <c r="P23"/>
  <c r="O23"/>
  <c r="N23"/>
  <c r="M23"/>
  <c r="S22"/>
  <c r="R22"/>
  <c r="Q22"/>
  <c r="P22"/>
  <c r="O22"/>
  <c r="N22"/>
  <c r="M22"/>
  <c r="S21"/>
  <c r="R21"/>
  <c r="Q21"/>
  <c r="P21"/>
  <c r="O21"/>
  <c r="N21"/>
  <c r="M21"/>
  <c r="S20"/>
  <c r="R20"/>
  <c r="Q20"/>
  <c r="P20"/>
  <c r="O20"/>
  <c r="N20"/>
  <c r="M20"/>
  <c r="S19"/>
  <c r="R19"/>
  <c r="K36"/>
  <c r="I36"/>
  <c r="S17"/>
  <c r="R17"/>
  <c r="G17"/>
  <c r="F17"/>
  <c r="F42"/>
  <c r="E17"/>
  <c r="D17"/>
  <c r="D42"/>
  <c r="C17"/>
  <c r="S16"/>
  <c r="R16"/>
  <c r="Q16"/>
  <c r="P16"/>
  <c r="O16"/>
  <c r="N16"/>
  <c r="M16"/>
  <c r="S15"/>
  <c r="R15"/>
  <c r="Q15"/>
  <c r="P15"/>
  <c r="O15"/>
  <c r="N15"/>
  <c r="M15"/>
  <c r="S14"/>
  <c r="R14"/>
  <c r="Q14"/>
  <c r="P14"/>
  <c r="O14"/>
  <c r="N14"/>
  <c r="M14"/>
  <c r="S13"/>
  <c r="R13"/>
  <c r="Q13"/>
  <c r="P13"/>
  <c r="O13"/>
  <c r="N13"/>
  <c r="M13"/>
  <c r="S12"/>
  <c r="R12"/>
  <c r="Q12"/>
  <c r="P12"/>
  <c r="O12"/>
  <c r="N12"/>
  <c r="M12"/>
  <c r="S11"/>
  <c r="R11"/>
  <c r="Q11"/>
  <c r="P11"/>
  <c r="O11"/>
  <c r="N11"/>
  <c r="M11"/>
  <c r="S10"/>
  <c r="R10"/>
  <c r="Q10"/>
  <c r="P10"/>
  <c r="O10"/>
  <c r="N10"/>
  <c r="M10"/>
  <c r="S9"/>
  <c r="R9"/>
  <c r="Q9"/>
  <c r="P9"/>
  <c r="O9"/>
  <c r="N9"/>
  <c r="M9"/>
  <c r="S8"/>
  <c r="R8"/>
  <c r="Q8"/>
  <c r="P8"/>
  <c r="O8"/>
  <c r="N8"/>
  <c r="M8"/>
  <c r="S7"/>
  <c r="R7"/>
  <c r="Q7"/>
  <c r="P7"/>
  <c r="O7"/>
  <c r="N7"/>
  <c r="M7"/>
  <c r="S6"/>
  <c r="R6"/>
  <c r="K17"/>
  <c r="I17"/>
  <c r="S42" i="3"/>
  <c r="R42"/>
  <c r="S40"/>
  <c r="R40"/>
  <c r="L40"/>
  <c r="K40"/>
  <c r="J40"/>
  <c r="I40"/>
  <c r="H40"/>
  <c r="G40"/>
  <c r="Q40"/>
  <c r="F40"/>
  <c r="P40"/>
  <c r="E40"/>
  <c r="O40"/>
  <c r="D40"/>
  <c r="N40"/>
  <c r="C40"/>
  <c r="M40"/>
  <c r="S39"/>
  <c r="Q39"/>
  <c r="P39"/>
  <c r="O39"/>
  <c r="N39"/>
  <c r="M39"/>
  <c r="S38"/>
  <c r="Q38"/>
  <c r="P38"/>
  <c r="O38"/>
  <c r="N38"/>
  <c r="M38"/>
  <c r="S36"/>
  <c r="R36"/>
  <c r="K36"/>
  <c r="J36"/>
  <c r="I36"/>
  <c r="H36"/>
  <c r="G36"/>
  <c r="E36"/>
  <c r="O36"/>
  <c r="D36"/>
  <c r="N36"/>
  <c r="C36"/>
  <c r="M36"/>
  <c r="S35"/>
  <c r="R35"/>
  <c r="Q35"/>
  <c r="P35"/>
  <c r="O35"/>
  <c r="N35"/>
  <c r="M35"/>
  <c r="S34"/>
  <c r="R34"/>
  <c r="Q34"/>
  <c r="P34"/>
  <c r="O34"/>
  <c r="N34"/>
  <c r="M34"/>
  <c r="S33"/>
  <c r="R33"/>
  <c r="Q33"/>
  <c r="P33"/>
  <c r="O33"/>
  <c r="N33"/>
  <c r="M33"/>
  <c r="S32"/>
  <c r="R32"/>
  <c r="P32"/>
  <c r="O32"/>
  <c r="N32"/>
  <c r="M32"/>
  <c r="Q32"/>
  <c r="S31"/>
  <c r="R31"/>
  <c r="Q31"/>
  <c r="P31"/>
  <c r="O31"/>
  <c r="N31"/>
  <c r="M31"/>
  <c r="S30"/>
  <c r="R30"/>
  <c r="Q30"/>
  <c r="P30"/>
  <c r="O30"/>
  <c r="N30"/>
  <c r="M30"/>
  <c r="S29"/>
  <c r="R29"/>
  <c r="P29"/>
  <c r="O29"/>
  <c r="N29"/>
  <c r="M29"/>
  <c r="Q29"/>
  <c r="S28"/>
  <c r="R28"/>
  <c r="P28"/>
  <c r="O28"/>
  <c r="N28"/>
  <c r="M28"/>
  <c r="Q28"/>
  <c r="S27"/>
  <c r="R27"/>
  <c r="Q27"/>
  <c r="O27"/>
  <c r="N27"/>
  <c r="M27"/>
  <c r="F27"/>
  <c r="F36"/>
  <c r="P36"/>
  <c r="S26"/>
  <c r="R26"/>
  <c r="Q26"/>
  <c r="P26"/>
  <c r="O26"/>
  <c r="N26"/>
  <c r="M26"/>
  <c r="S25"/>
  <c r="R25"/>
  <c r="Q25"/>
  <c r="P25"/>
  <c r="O25"/>
  <c r="N25"/>
  <c r="M25"/>
  <c r="S24"/>
  <c r="R24"/>
  <c r="Q24"/>
  <c r="P24"/>
  <c r="O24"/>
  <c r="N24"/>
  <c r="M24"/>
  <c r="S23"/>
  <c r="R23"/>
  <c r="Q23"/>
  <c r="P23"/>
  <c r="O23"/>
  <c r="N23"/>
  <c r="M23"/>
  <c r="L36"/>
  <c r="S22"/>
  <c r="R22"/>
  <c r="Q22"/>
  <c r="P22"/>
  <c r="O22"/>
  <c r="N22"/>
  <c r="M22"/>
  <c r="S21"/>
  <c r="R21"/>
  <c r="Q21"/>
  <c r="P21"/>
  <c r="O21"/>
  <c r="N21"/>
  <c r="M21"/>
  <c r="S20"/>
  <c r="R20"/>
  <c r="Q20"/>
  <c r="P20"/>
  <c r="O20"/>
  <c r="N20"/>
  <c r="M20"/>
  <c r="S19"/>
  <c r="R19"/>
  <c r="Q19"/>
  <c r="P19"/>
  <c r="O19"/>
  <c r="N19"/>
  <c r="M19"/>
  <c r="S17"/>
  <c r="R17"/>
  <c r="K17"/>
  <c r="K42"/>
  <c r="J17"/>
  <c r="J42"/>
  <c r="I17"/>
  <c r="I42"/>
  <c r="H17"/>
  <c r="H42"/>
  <c r="G17"/>
  <c r="F17"/>
  <c r="E17"/>
  <c r="O17"/>
  <c r="D17"/>
  <c r="D42"/>
  <c r="N42"/>
  <c r="C17"/>
  <c r="M17"/>
  <c r="S16"/>
  <c r="R16"/>
  <c r="Q16"/>
  <c r="P16"/>
  <c r="O16"/>
  <c r="N16"/>
  <c r="M16"/>
  <c r="S15"/>
  <c r="R15"/>
  <c r="Q15"/>
  <c r="P15"/>
  <c r="O15"/>
  <c r="N15"/>
  <c r="M15"/>
  <c r="S14"/>
  <c r="R14"/>
  <c r="P14"/>
  <c r="O14"/>
  <c r="N14"/>
  <c r="M14"/>
  <c r="Q14"/>
  <c r="S13"/>
  <c r="R13"/>
  <c r="Q13"/>
  <c r="P13"/>
  <c r="O13"/>
  <c r="N13"/>
  <c r="M13"/>
  <c r="S12"/>
  <c r="R12"/>
  <c r="P12"/>
  <c r="O12"/>
  <c r="N12"/>
  <c r="M12"/>
  <c r="Q12"/>
  <c r="S11"/>
  <c r="R11"/>
  <c r="Q11"/>
  <c r="P11"/>
  <c r="O11"/>
  <c r="N11"/>
  <c r="M11"/>
  <c r="S10"/>
  <c r="R10"/>
  <c r="Q10"/>
  <c r="P10"/>
  <c r="O10"/>
  <c r="N10"/>
  <c r="M10"/>
  <c r="S9"/>
  <c r="R9"/>
  <c r="Q9"/>
  <c r="P9"/>
  <c r="O9"/>
  <c r="N9"/>
  <c r="M9"/>
  <c r="S8"/>
  <c r="R8"/>
  <c r="Q8"/>
  <c r="P8"/>
  <c r="O8"/>
  <c r="N8"/>
  <c r="M8"/>
  <c r="S7"/>
  <c r="R7"/>
  <c r="Q7"/>
  <c r="P7"/>
  <c r="O7"/>
  <c r="N7"/>
  <c r="M7"/>
  <c r="S6"/>
  <c r="R6"/>
  <c r="Q6"/>
  <c r="P6"/>
  <c r="O6"/>
  <c r="N6"/>
  <c r="M6"/>
  <c r="G40" i="2"/>
  <c r="F40"/>
  <c r="E40"/>
  <c r="D40"/>
  <c r="D42"/>
  <c r="C40"/>
  <c r="Q39"/>
  <c r="P39"/>
  <c r="O39"/>
  <c r="N39"/>
  <c r="M39"/>
  <c r="G36"/>
  <c r="F36"/>
  <c r="E36"/>
  <c r="D36"/>
  <c r="C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L36"/>
  <c r="J36"/>
  <c r="H36"/>
  <c r="G17"/>
  <c r="F17"/>
  <c r="E17"/>
  <c r="D17"/>
  <c r="C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P9"/>
  <c r="Q9"/>
  <c r="O9"/>
  <c r="N9"/>
  <c r="M9"/>
  <c r="Q8"/>
  <c r="P8"/>
  <c r="O8"/>
  <c r="N8"/>
  <c r="M8"/>
  <c r="Q7"/>
  <c r="P7"/>
  <c r="O7"/>
  <c r="N7"/>
  <c r="M7"/>
  <c r="G40" i="1"/>
  <c r="Q40"/>
  <c r="F40"/>
  <c r="P40"/>
  <c r="E40"/>
  <c r="O40"/>
  <c r="D40"/>
  <c r="N40"/>
  <c r="C40"/>
  <c r="M40"/>
  <c r="Q39"/>
  <c r="P39"/>
  <c r="O39"/>
  <c r="N39"/>
  <c r="M39"/>
  <c r="Q38"/>
  <c r="P38"/>
  <c r="O38"/>
  <c r="N38"/>
  <c r="M38"/>
  <c r="G36"/>
  <c r="F36"/>
  <c r="P36"/>
  <c r="E36"/>
  <c r="D36"/>
  <c r="N36"/>
  <c r="C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G17"/>
  <c r="Q17"/>
  <c r="F17"/>
  <c r="F42"/>
  <c r="E17"/>
  <c r="O17"/>
  <c r="D17"/>
  <c r="D42"/>
  <c r="C17"/>
  <c r="M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N36" i="23"/>
  <c r="N37"/>
  <c r="L37"/>
  <c r="K36" i="22"/>
  <c r="K37"/>
  <c r="N41" i="23"/>
  <c r="L41"/>
  <c r="L42"/>
  <c r="D37" i="22"/>
  <c r="I37"/>
  <c r="D42"/>
  <c r="I42"/>
  <c r="I36" i="2"/>
  <c r="D42" i="9"/>
  <c r="D17" i="15"/>
  <c r="I40" i="2"/>
  <c r="K40"/>
  <c r="F17" i="15"/>
  <c r="H17" i="4"/>
  <c r="J17"/>
  <c r="L17"/>
  <c r="H36"/>
  <c r="J36"/>
  <c r="L36"/>
  <c r="M36" i="5"/>
  <c r="Q36"/>
  <c r="Q40"/>
  <c r="Q40" i="17"/>
  <c r="Q36"/>
  <c r="O36"/>
  <c r="M36"/>
  <c r="P40"/>
  <c r="N40"/>
  <c r="O40"/>
  <c r="K42"/>
  <c r="I42"/>
  <c r="I17" i="2"/>
  <c r="K17"/>
  <c r="K36"/>
  <c r="M19"/>
  <c r="Q6" i="15"/>
  <c r="Q19" i="2"/>
  <c r="O36" i="5"/>
  <c r="H36" i="9"/>
  <c r="J36"/>
  <c r="L36"/>
  <c r="M6" i="15"/>
  <c r="G36"/>
  <c r="Q36"/>
  <c r="H17" i="2"/>
  <c r="J17"/>
  <c r="L17"/>
  <c r="O19"/>
  <c r="H40"/>
  <c r="J40"/>
  <c r="L40"/>
  <c r="O19" i="4"/>
  <c r="O19" i="9"/>
  <c r="N38" i="15"/>
  <c r="M19" i="4"/>
  <c r="Q19"/>
  <c r="I40"/>
  <c r="I42"/>
  <c r="N42"/>
  <c r="K40"/>
  <c r="K42"/>
  <c r="P42"/>
  <c r="N38"/>
  <c r="N36" i="5"/>
  <c r="P36"/>
  <c r="I17" i="9"/>
  <c r="K17"/>
  <c r="I36"/>
  <c r="K36"/>
  <c r="M19"/>
  <c r="Q19"/>
  <c r="I40"/>
  <c r="K40"/>
  <c r="N38"/>
  <c r="O6" i="15"/>
  <c r="D36"/>
  <c r="N36"/>
  <c r="F36"/>
  <c r="P36"/>
  <c r="N19"/>
  <c r="C40"/>
  <c r="M40"/>
  <c r="E40"/>
  <c r="O40"/>
  <c r="G40"/>
  <c r="Q40"/>
  <c r="P38"/>
  <c r="F42" i="3"/>
  <c r="P42"/>
  <c r="F42" i="2"/>
  <c r="Q42" i="18"/>
  <c r="M17"/>
  <c r="O17"/>
  <c r="Q17"/>
  <c r="N17"/>
  <c r="P17"/>
  <c r="D42" i="15"/>
  <c r="N42"/>
  <c r="N17"/>
  <c r="F42"/>
  <c r="P42"/>
  <c r="P17"/>
  <c r="M17"/>
  <c r="O17"/>
  <c r="G42"/>
  <c r="Q42"/>
  <c r="Q17"/>
  <c r="N6"/>
  <c r="P6"/>
  <c r="M19"/>
  <c r="O19"/>
  <c r="Q19"/>
  <c r="M38"/>
  <c r="O38"/>
  <c r="Q38"/>
  <c r="E42" i="13"/>
  <c r="O42"/>
  <c r="O17"/>
  <c r="G42"/>
  <c r="Q42"/>
  <c r="Q17"/>
  <c r="F42"/>
  <c r="P42"/>
  <c r="P17"/>
  <c r="O11"/>
  <c r="Q11"/>
  <c r="M17"/>
  <c r="N17"/>
  <c r="O17" i="12"/>
  <c r="E42"/>
  <c r="O42"/>
  <c r="Q17"/>
  <c r="G42"/>
  <c r="Q42"/>
  <c r="O9"/>
  <c r="Q9"/>
  <c r="F17"/>
  <c r="N17"/>
  <c r="C42"/>
  <c r="M42"/>
  <c r="O38"/>
  <c r="Q38"/>
  <c r="O17" i="11"/>
  <c r="E42"/>
  <c r="O42"/>
  <c r="Q17"/>
  <c r="O9"/>
  <c r="Q9"/>
  <c r="F17"/>
  <c r="N17"/>
  <c r="C42"/>
  <c r="M42"/>
  <c r="O38"/>
  <c r="M42" i="10"/>
  <c r="M17"/>
  <c r="I42"/>
  <c r="N42"/>
  <c r="N36" i="9"/>
  <c r="P36"/>
  <c r="M40"/>
  <c r="O40"/>
  <c r="Q40"/>
  <c r="E42"/>
  <c r="G42"/>
  <c r="M36"/>
  <c r="O36"/>
  <c r="Q36"/>
  <c r="N40"/>
  <c r="P40"/>
  <c r="N6"/>
  <c r="P6"/>
  <c r="O9"/>
  <c r="Q9"/>
  <c r="F17"/>
  <c r="H17"/>
  <c r="H42"/>
  <c r="J17"/>
  <c r="J42"/>
  <c r="L17"/>
  <c r="L42"/>
  <c r="N17"/>
  <c r="N19"/>
  <c r="P19"/>
  <c r="M38"/>
  <c r="O38"/>
  <c r="Q38"/>
  <c r="C42"/>
  <c r="E42" i="8"/>
  <c r="O42"/>
  <c r="O17"/>
  <c r="G42"/>
  <c r="Q42"/>
  <c r="Q17"/>
  <c r="F42"/>
  <c r="P42"/>
  <c r="P17"/>
  <c r="O8"/>
  <c r="Q8"/>
  <c r="M17"/>
  <c r="P20"/>
  <c r="N17"/>
  <c r="F42" i="7"/>
  <c r="P42"/>
  <c r="P17"/>
  <c r="O17"/>
  <c r="E42"/>
  <c r="O42"/>
  <c r="Q17"/>
  <c r="G42"/>
  <c r="Q42"/>
  <c r="O8"/>
  <c r="Q8"/>
  <c r="N17"/>
  <c r="O20"/>
  <c r="Q20"/>
  <c r="C42"/>
  <c r="M42"/>
  <c r="M17" i="6"/>
  <c r="C42"/>
  <c r="M42"/>
  <c r="O17"/>
  <c r="E42"/>
  <c r="O42"/>
  <c r="Q17"/>
  <c r="G42"/>
  <c r="Q42"/>
  <c r="O40"/>
  <c r="Q40"/>
  <c r="N17"/>
  <c r="F42"/>
  <c r="P42"/>
  <c r="P17"/>
  <c r="P40"/>
  <c r="M8"/>
  <c r="O8"/>
  <c r="Q8"/>
  <c r="P11"/>
  <c r="M20"/>
  <c r="O20"/>
  <c r="Q20"/>
  <c r="P38"/>
  <c r="D40"/>
  <c r="N40"/>
  <c r="G17" i="5"/>
  <c r="M17"/>
  <c r="O17"/>
  <c r="Q38"/>
  <c r="N17"/>
  <c r="P17"/>
  <c r="M17" i="4"/>
  <c r="O17"/>
  <c r="Q17"/>
  <c r="M36"/>
  <c r="O36"/>
  <c r="Q36"/>
  <c r="M40"/>
  <c r="O40"/>
  <c r="Q40"/>
  <c r="N36"/>
  <c r="P36"/>
  <c r="N40"/>
  <c r="P40"/>
  <c r="M6"/>
  <c r="O6"/>
  <c r="Q6"/>
  <c r="N17"/>
  <c r="P17"/>
  <c r="N19"/>
  <c r="P19"/>
  <c r="M38"/>
  <c r="O38"/>
  <c r="Q38"/>
  <c r="C42"/>
  <c r="E42"/>
  <c r="G42"/>
  <c r="N6"/>
  <c r="P6"/>
  <c r="P38"/>
  <c r="Q36" i="3"/>
  <c r="L17"/>
  <c r="L42"/>
  <c r="N17"/>
  <c r="P17"/>
  <c r="C42"/>
  <c r="M42"/>
  <c r="E42"/>
  <c r="O42"/>
  <c r="G42"/>
  <c r="Q42"/>
  <c r="P27"/>
  <c r="N17" i="2"/>
  <c r="P17"/>
  <c r="N36"/>
  <c r="P36"/>
  <c r="H42"/>
  <c r="J42"/>
  <c r="L42"/>
  <c r="M40"/>
  <c r="O40"/>
  <c r="Q40"/>
  <c r="M17"/>
  <c r="O17"/>
  <c r="Q17"/>
  <c r="M36"/>
  <c r="O36"/>
  <c r="Q36"/>
  <c r="I42"/>
  <c r="K42"/>
  <c r="N42"/>
  <c r="P42"/>
  <c r="M6"/>
  <c r="O6"/>
  <c r="Q6"/>
  <c r="N19"/>
  <c r="P19"/>
  <c r="M38"/>
  <c r="O38"/>
  <c r="Q38"/>
  <c r="N40"/>
  <c r="P40"/>
  <c r="C42"/>
  <c r="M42"/>
  <c r="E42"/>
  <c r="O42"/>
  <c r="G42"/>
  <c r="Q42"/>
  <c r="N6"/>
  <c r="P6"/>
  <c r="N38"/>
  <c r="P38"/>
  <c r="N42" i="1"/>
  <c r="I40"/>
  <c r="I35"/>
  <c r="I34"/>
  <c r="I33"/>
  <c r="I32"/>
  <c r="I31"/>
  <c r="I30"/>
  <c r="I29"/>
  <c r="I28"/>
  <c r="I27"/>
  <c r="I26"/>
  <c r="I25"/>
  <c r="I24"/>
  <c r="I23"/>
  <c r="I22"/>
  <c r="I21"/>
  <c r="I20"/>
  <c r="I19"/>
  <c r="I42"/>
  <c r="I39"/>
  <c r="I38"/>
  <c r="I16"/>
  <c r="I15"/>
  <c r="I14"/>
  <c r="I13"/>
  <c r="I12"/>
  <c r="I11"/>
  <c r="I10"/>
  <c r="I9"/>
  <c r="I8"/>
  <c r="I7"/>
  <c r="I6"/>
  <c r="P42"/>
  <c r="K40"/>
  <c r="K35"/>
  <c r="K34"/>
  <c r="K33"/>
  <c r="K32"/>
  <c r="K31"/>
  <c r="K30"/>
  <c r="K29"/>
  <c r="K28"/>
  <c r="K27"/>
  <c r="K26"/>
  <c r="K25"/>
  <c r="K24"/>
  <c r="K23"/>
  <c r="K22"/>
  <c r="K21"/>
  <c r="K20"/>
  <c r="K19"/>
  <c r="K42"/>
  <c r="K39"/>
  <c r="K38"/>
  <c r="K16"/>
  <c r="K15"/>
  <c r="K14"/>
  <c r="K13"/>
  <c r="K12"/>
  <c r="K11"/>
  <c r="K10"/>
  <c r="K9"/>
  <c r="K8"/>
  <c r="K7"/>
  <c r="K6"/>
  <c r="C42"/>
  <c r="H17"/>
  <c r="G42"/>
  <c r="L17"/>
  <c r="N17"/>
  <c r="P17"/>
  <c r="I36"/>
  <c r="K36"/>
  <c r="M36"/>
  <c r="O36"/>
  <c r="Q36"/>
  <c r="H40"/>
  <c r="L40"/>
  <c r="E42"/>
  <c r="I17"/>
  <c r="K17"/>
  <c r="N42" i="23"/>
  <c r="K42" i="22"/>
  <c r="L42" i="4"/>
  <c r="Q42"/>
  <c r="H42"/>
  <c r="M42"/>
  <c r="J42"/>
  <c r="O42"/>
  <c r="M42" i="9"/>
  <c r="E42" i="15"/>
  <c r="O42"/>
  <c r="K42" i="9"/>
  <c r="Q42"/>
  <c r="C42" i="15"/>
  <c r="M42"/>
  <c r="I42" i="9"/>
  <c r="N42"/>
  <c r="F42" i="12"/>
  <c r="P42"/>
  <c r="P17"/>
  <c r="F42" i="11"/>
  <c r="P42"/>
  <c r="P17"/>
  <c r="F42" i="9"/>
  <c r="P42"/>
  <c r="P17"/>
  <c r="Q17"/>
  <c r="O17"/>
  <c r="M17"/>
  <c r="O42"/>
  <c r="D42" i="6"/>
  <c r="N42"/>
  <c r="G42" i="5"/>
  <c r="Q42"/>
  <c r="Q17"/>
  <c r="Q17" i="3"/>
  <c r="J42" i="1"/>
  <c r="J39"/>
  <c r="J38"/>
  <c r="J16"/>
  <c r="J15"/>
  <c r="J14"/>
  <c r="J13"/>
  <c r="J12"/>
  <c r="J11"/>
  <c r="J10"/>
  <c r="J9"/>
  <c r="J8"/>
  <c r="J7"/>
  <c r="J6"/>
  <c r="O42"/>
  <c r="J35"/>
  <c r="J34"/>
  <c r="J33"/>
  <c r="J32"/>
  <c r="J31"/>
  <c r="J30"/>
  <c r="J29"/>
  <c r="J28"/>
  <c r="J27"/>
  <c r="J26"/>
  <c r="J25"/>
  <c r="J24"/>
  <c r="J23"/>
  <c r="J22"/>
  <c r="J21"/>
  <c r="J20"/>
  <c r="J19"/>
  <c r="L42"/>
  <c r="L39"/>
  <c r="L38"/>
  <c r="L16"/>
  <c r="L15"/>
  <c r="L14"/>
  <c r="L13"/>
  <c r="L12"/>
  <c r="L11"/>
  <c r="L10"/>
  <c r="L9"/>
  <c r="L8"/>
  <c r="L7"/>
  <c r="L6"/>
  <c r="Q42"/>
  <c r="L35"/>
  <c r="L34"/>
  <c r="L33"/>
  <c r="L32"/>
  <c r="L31"/>
  <c r="L30"/>
  <c r="L29"/>
  <c r="L28"/>
  <c r="L27"/>
  <c r="L26"/>
  <c r="L25"/>
  <c r="L24"/>
  <c r="L23"/>
  <c r="L22"/>
  <c r="L21"/>
  <c r="L20"/>
  <c r="L19"/>
  <c r="H42"/>
  <c r="H39"/>
  <c r="H38"/>
  <c r="H16"/>
  <c r="H15"/>
  <c r="H14"/>
  <c r="H13"/>
  <c r="H12"/>
  <c r="H11"/>
  <c r="H10"/>
  <c r="H9"/>
  <c r="H8"/>
  <c r="H7"/>
  <c r="H6"/>
  <c r="M42"/>
  <c r="H35"/>
  <c r="H34"/>
  <c r="H33"/>
  <c r="H32"/>
  <c r="H31"/>
  <c r="H30"/>
  <c r="H29"/>
  <c r="H28"/>
  <c r="H27"/>
  <c r="H26"/>
  <c r="H25"/>
  <c r="H24"/>
  <c r="H23"/>
  <c r="H22"/>
  <c r="H21"/>
  <c r="H20"/>
  <c r="H19"/>
  <c r="J36"/>
  <c r="J40"/>
  <c r="J17"/>
  <c r="L36"/>
  <c r="H36"/>
  <c r="M6" i="17"/>
  <c r="N6"/>
  <c r="O6"/>
  <c r="P6"/>
  <c r="Q6"/>
  <c r="M7"/>
  <c r="N7"/>
  <c r="O7"/>
  <c r="P7"/>
  <c r="Q7"/>
  <c r="M8"/>
  <c r="N8"/>
  <c r="O8"/>
  <c r="P8"/>
  <c r="Q8"/>
  <c r="M9"/>
  <c r="N9"/>
  <c r="O9"/>
  <c r="P9"/>
  <c r="Q9"/>
  <c r="M10"/>
  <c r="N10"/>
  <c r="O10"/>
  <c r="P10"/>
  <c r="Q10"/>
  <c r="M11"/>
  <c r="N11"/>
  <c r="O11"/>
  <c r="P11"/>
  <c r="Q11"/>
  <c r="M12"/>
  <c r="N12"/>
  <c r="O12"/>
  <c r="P12"/>
  <c r="Q12"/>
  <c r="M13"/>
  <c r="N13"/>
  <c r="O13"/>
  <c r="P13"/>
  <c r="Q13"/>
  <c r="M14"/>
  <c r="N14"/>
  <c r="O14"/>
  <c r="P14"/>
  <c r="Q14"/>
  <c r="M15"/>
  <c r="N15"/>
  <c r="O15"/>
  <c r="P15"/>
  <c r="Q15"/>
  <c r="M16"/>
  <c r="N16"/>
  <c r="O16"/>
  <c r="P16"/>
  <c r="Q16"/>
  <c r="D17"/>
  <c r="N17"/>
  <c r="F17"/>
  <c r="P17"/>
  <c r="G17"/>
  <c r="G42"/>
  <c r="Q42"/>
  <c r="E17"/>
  <c r="E42"/>
  <c r="O42"/>
  <c r="Q17"/>
  <c r="O17"/>
  <c r="C17"/>
  <c r="C42"/>
  <c r="M42"/>
  <c r="M17"/>
  <c r="F42"/>
  <c r="P42"/>
  <c r="D42"/>
  <c r="N42"/>
</calcChain>
</file>

<file path=xl/comments1.xml><?xml version="1.0" encoding="utf-8"?>
<comments xmlns="http://schemas.openxmlformats.org/spreadsheetml/2006/main">
  <authors>
    <author xml:space="preserve"> Planning Commission</author>
  </authors>
  <commentList>
    <comment ref="E7" authorId="0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State has shown only Rs.5841.89 crore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 xml:space="preserve"> Planning Commission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33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  <comment ref="L33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pc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N16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RE</t>
        </r>
      </text>
    </comment>
    <comment ref="S20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BE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R22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S22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BE</t>
        </r>
      </text>
    </comment>
    <comment ref="R29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R31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RE</t>
        </r>
      </text>
    </comment>
    <comment ref="S31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AP</t>
        </r>
      </text>
    </comment>
    <comment ref="S34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BE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pc</author>
    <author xml:space="preserve"> Planning Commission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N16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RE</t>
        </r>
      </text>
    </comment>
    <comment ref="S20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BE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R22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S22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BE</t>
        </r>
      </text>
    </comment>
    <comment ref="R29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R31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RE</t>
        </r>
      </text>
    </comment>
    <comment ref="S31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AP</t>
        </r>
      </text>
    </comment>
    <comment ref="G33" authorId="2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  <comment ref="S34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BE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13.xml><?xml version="1.0" encoding="utf-8"?>
<comments xmlns="http://schemas.openxmlformats.org/spreadsheetml/2006/main">
  <authors>
    <author>pc</author>
    <author xml:space="preserve"> Planning Commission</author>
  </authors>
  <commentList>
    <comment ref="D16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RE</t>
        </r>
      </text>
    </comment>
    <comment ref="D26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RE
</t>
        </r>
      </text>
    </comment>
    <comment ref="E32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MBE</t>
        </r>
      </text>
    </comment>
    <comment ref="G33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  <comment ref="E38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RE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 xml:space="preserve"> Planning Commission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33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34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RE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L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 xml:space="preserve"> Planning Commission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7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29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RE</t>
        </r>
      </text>
    </comment>
    <comment ref="G33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2.xml><?xml version="1.0" encoding="utf-8"?>
<comments xmlns="http://schemas.openxmlformats.org/spreadsheetml/2006/main">
  <authors>
    <author xml:space="preserve"> Planning Commission</author>
  </authors>
  <commentList>
    <comment ref="E7" authorId="0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State has shown only Rs.5841.89 crore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pcuser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N16" authorId="1">
      <text>
        <r>
          <rPr>
            <b/>
            <sz val="9"/>
            <color indexed="81"/>
            <rFont val="Tahoma"/>
            <family val="2"/>
          </rPr>
          <t>pcuser:</t>
        </r>
        <r>
          <rPr>
            <sz val="9"/>
            <color indexed="81"/>
            <rFont val="Tahoma"/>
            <family val="2"/>
          </rPr>
          <t xml:space="preserve">
2008-09(RE)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RE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 xml:space="preserve"> Planning Commission</author>
  </authors>
  <commentList>
    <comment ref="G6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LE</t>
        </r>
      </text>
    </comment>
    <comment ref="O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J7" authorId="1">
      <text>
        <r>
          <rPr>
            <b/>
            <sz val="8"/>
            <color indexed="81"/>
            <rFont val="Tahoma"/>
            <family val="2"/>
          </rPr>
          <t xml:space="preserve"> Planning Commission:</t>
        </r>
        <r>
          <rPr>
            <sz val="8"/>
            <color indexed="81"/>
            <rFont val="Tahoma"/>
            <family val="2"/>
          </rPr>
          <t xml:space="preserve">
BE</t>
        </r>
      </text>
    </comment>
    <comment ref="G12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LE</t>
        </r>
      </text>
    </comment>
    <comment ref="O1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22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LE</t>
        </r>
      </text>
    </comment>
    <comment ref="G29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RE</t>
        </r>
      </text>
    </comment>
    <comment ref="O29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RE</t>
        </r>
      </text>
    </comment>
    <comment ref="G33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  <comment ref="O33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  <comment ref="G34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O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E16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26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28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RE</t>
        </r>
      </text>
    </comment>
    <comment ref="F39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</commentList>
</comments>
</file>

<file path=xl/comments4.xml><?xml version="1.0" encoding="utf-8"?>
<comments xmlns="http://schemas.openxmlformats.org/spreadsheetml/2006/main">
  <authors>
    <author xml:space="preserve"> Planning Commission</author>
  </authors>
  <commentList>
    <comment ref="D7" authorId="0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State has shown only Rs.5841.89 crore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E16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26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28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31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39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E16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26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28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31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  <comment ref="F39" authorId="0">
      <text>
        <r>
          <rPr>
            <b/>
            <sz val="8"/>
            <color indexed="81"/>
            <rFont val="Tahoma"/>
            <charset val="1"/>
          </rPr>
          <t xml:space="preserve"> :</t>
        </r>
        <r>
          <rPr>
            <sz val="8"/>
            <color indexed="81"/>
            <rFont val="Tahoma"/>
            <charset val="1"/>
          </rPr>
          <t xml:space="preserve">
RE</t>
        </r>
      </text>
    </comment>
  </commentList>
</comments>
</file>

<file path=xl/comments7.xml><?xml version="1.0" encoding="utf-8"?>
<comments xmlns="http://schemas.openxmlformats.org/spreadsheetml/2006/main">
  <authors>
    <author xml:space="preserve"> Planning Commission</author>
  </authors>
  <commentList>
    <comment ref="F12" authorId="0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Budget at a Glance page 17</t>
        </r>
      </text>
    </comment>
    <comment ref="A16" authorId="0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Source: Statement - 16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 xml:space="preserve"> Planning Commission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33" authorId="1">
      <text>
        <r>
          <rPr>
            <b/>
            <sz val="8"/>
            <color indexed="81"/>
            <rFont val="Tahoma"/>
          </rPr>
          <t xml:space="preserve"> Planning Commission:</t>
        </r>
        <r>
          <rPr>
            <sz val="8"/>
            <color indexed="81"/>
            <rFont val="Tahoma"/>
          </rPr>
          <t xml:space="preserve">
LE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</t>
        </r>
      </text>
    </comment>
  </commentList>
</comments>
</file>

<file path=xl/sharedStrings.xml><?xml version="1.0" encoding="utf-8"?>
<sst xmlns="http://schemas.openxmlformats.org/spreadsheetml/2006/main" count="2409" uniqueCount="325">
  <si>
    <t>Sl No.</t>
  </si>
  <si>
    <t>State</t>
  </si>
  <si>
    <t>OWN TAX REVENUE                                                                              (Rs. Crore)</t>
  </si>
  <si>
    <t>INDIVIDUAL STATE'S SHARE AMONG ALL INDIA                              (IN PERCENT)</t>
  </si>
  <si>
    <t>PERCENTAGE TO GSDP</t>
  </si>
  <si>
    <t xml:space="preserve">2007-08 </t>
  </si>
  <si>
    <t xml:space="preserve">2008-09 </t>
  </si>
  <si>
    <t>2009-10</t>
  </si>
  <si>
    <t>2010-11</t>
  </si>
  <si>
    <t>2011-12</t>
  </si>
  <si>
    <t>Actual</t>
  </si>
  <si>
    <t>Pre. Actual</t>
  </si>
  <si>
    <t>BE</t>
  </si>
  <si>
    <t>Special Category States (SCS)</t>
  </si>
  <si>
    <t>Arunachal Pradesh</t>
  </si>
  <si>
    <t>Assam</t>
  </si>
  <si>
    <t>Himachal Pradesh</t>
  </si>
  <si>
    <t>J &amp; K</t>
  </si>
  <si>
    <t>Manipur</t>
  </si>
  <si>
    <t>Meghalaya</t>
  </si>
  <si>
    <t>Mizoram</t>
  </si>
  <si>
    <t>Nagaland</t>
  </si>
  <si>
    <t>Sikkim</t>
  </si>
  <si>
    <t>Tripura</t>
  </si>
  <si>
    <t>Uttarakhand</t>
  </si>
  <si>
    <t>Sub Total: SCS</t>
  </si>
  <si>
    <t>Non- Special Category States (NSCS)</t>
  </si>
  <si>
    <t>Andhra Pradesh</t>
  </si>
  <si>
    <t>Bihar</t>
  </si>
  <si>
    <t>Chhattisgarh</t>
  </si>
  <si>
    <t>Goa</t>
  </si>
  <si>
    <t>Gujarat</t>
  </si>
  <si>
    <t>Haryana</t>
  </si>
  <si>
    <t>Jharkhand</t>
  </si>
  <si>
    <t>Karnataka</t>
  </si>
  <si>
    <t>Kerala</t>
  </si>
  <si>
    <t>Madhya Pradesh</t>
  </si>
  <si>
    <t>Maharashtra</t>
  </si>
  <si>
    <t>Orissa</t>
  </si>
  <si>
    <t>Punjab</t>
  </si>
  <si>
    <t>Rajasthan</t>
  </si>
  <si>
    <t>Tamil Nadu</t>
  </si>
  <si>
    <t>Uttar Pradesh</t>
  </si>
  <si>
    <t>West Bengal</t>
  </si>
  <si>
    <t>Sub Total: NSCS</t>
  </si>
  <si>
    <t>Union Teritorries: With Legistatures</t>
  </si>
  <si>
    <t>Delhi</t>
  </si>
  <si>
    <t>Puducherry</t>
  </si>
  <si>
    <t>Sub Total:  UT.s</t>
  </si>
  <si>
    <t>Grand Total: All States &amp; Uts</t>
  </si>
  <si>
    <t>Source: Book of Estimates of the State for Annual Plan Estimation of 2012-13</t>
  </si>
  <si>
    <t>SL NO.</t>
  </si>
  <si>
    <t>INTEREST PAYMENTS                              (Rs. Crore)</t>
  </si>
  <si>
    <t>TOTAL REVENUE RECIEPTS (TRR)                                (Rs. Crore)</t>
  </si>
  <si>
    <t>INTEREST PAYMENT                                                       (As %age of TRR)</t>
  </si>
  <si>
    <t>2007-08</t>
  </si>
  <si>
    <t>2008-09</t>
  </si>
  <si>
    <t>2012-12</t>
  </si>
  <si>
    <t>Pre-Actual</t>
  </si>
  <si>
    <t xml:space="preserve">Arunachal Pradesh </t>
  </si>
  <si>
    <t>Jammu &amp; Kashmir</t>
  </si>
  <si>
    <t>Union Teritorries: With legislatures</t>
  </si>
  <si>
    <t>Sub Total: UT.s</t>
  </si>
  <si>
    <t>REVENUE DEFICIT                                                 (Rs. Crore)</t>
  </si>
  <si>
    <t>REVENUE DEFICIT                                                   (As %age of GSDP)</t>
  </si>
  <si>
    <t>RE/LE</t>
  </si>
  <si>
    <t>State Estt.</t>
  </si>
  <si>
    <t>Sub Total:Uts</t>
  </si>
  <si>
    <t>FISCAL DEFICIT                                                       (Rs. Crore)</t>
  </si>
  <si>
    <t>GSDP                                                                                (Rs. Crore)</t>
  </si>
  <si>
    <t>FISCAL DEFICIT                                                       (As %age of GSDP)</t>
  </si>
  <si>
    <t xml:space="preserve"> Pre-Actual</t>
  </si>
  <si>
    <t>Outstanding Liabilities (Rs. Crore)</t>
  </si>
  <si>
    <t>GSDP (Rs. Crore)</t>
  </si>
  <si>
    <t>Outstanding Liabilities - % to GSDP</t>
  </si>
  <si>
    <t>2007-08 Actual</t>
  </si>
  <si>
    <t>2008-09 Actual</t>
  </si>
  <si>
    <t>2009-10 Actual</t>
  </si>
  <si>
    <t>2010-11         Pre Actual</t>
  </si>
  <si>
    <t>2011-12 BE</t>
  </si>
  <si>
    <t>2010-11 Pre Actual</t>
  </si>
  <si>
    <t>Total: SCS</t>
  </si>
  <si>
    <t>Total: NSCS</t>
  </si>
  <si>
    <t>Total: UT.s</t>
  </si>
  <si>
    <t>Grand Total</t>
  </si>
  <si>
    <t>SALARY EXPENDITURE                                          (Rs. crore)</t>
  </si>
  <si>
    <t xml:space="preserve"> BE</t>
  </si>
  <si>
    <t>SALARY EXPENDITURE                                                 (Rs. crore)</t>
  </si>
  <si>
    <r>
      <t xml:space="preserve">SALARY EXPENDITURE                                              </t>
    </r>
    <r>
      <rPr>
        <b/>
        <i/>
        <sz val="10"/>
        <rFont val="Tahoma"/>
        <family val="2"/>
      </rPr>
      <t>(AS %AGE OF TOTAL EXPENDITURE)</t>
    </r>
  </si>
  <si>
    <t>Grand Total: All states &amp; Uts</t>
  </si>
  <si>
    <t>SALARY EXPENDITURE                                                                      (Rs. Crore)</t>
  </si>
  <si>
    <t>REVENUE EXPENDITURE                                                                                                                                (NET OF INTEREST PAYMENT &amp; PENSION)                                            (Rs.Crore)</t>
  </si>
  <si>
    <t>2008-09       Actual</t>
  </si>
  <si>
    <t>2009-10               Actual</t>
  </si>
  <si>
    <t>2010-11 Pre. Actual</t>
  </si>
  <si>
    <t>2011-12             BE</t>
  </si>
  <si>
    <t>2007-08           Actual</t>
  </si>
  <si>
    <t>2010-11 Pre. Acutal</t>
  </si>
  <si>
    <t>2011-112            BE</t>
  </si>
  <si>
    <t>Sl. No.</t>
  </si>
  <si>
    <t>STATES</t>
  </si>
  <si>
    <t>TOTAL EXPENDITURE                                                     (Rs. Crore)</t>
  </si>
  <si>
    <t>PUBLIC EXPENDITURE RATIO                                    (IN PERCENT)</t>
  </si>
  <si>
    <t xml:space="preserve"> Actual</t>
  </si>
  <si>
    <t>Odisha</t>
  </si>
  <si>
    <t>Sub Total:  Uts</t>
  </si>
  <si>
    <t>SOCIAL SECTOR EXPENDITURE                                      (Rs. Crore)</t>
  </si>
  <si>
    <t>SOCIAL ALLOCATION RATIO                                    (IN PERCENT)</t>
  </si>
  <si>
    <t>PLAN EXPENDITURE - AS %AGE OF GSDP                                                    (IN PERCENT)</t>
  </si>
  <si>
    <t>PLAN EXPENDITURE                                             (Rs. Crore)</t>
  </si>
  <si>
    <t>POPULATION                                                             (In Crore)</t>
  </si>
  <si>
    <t>1st March: RGI estimated</t>
  </si>
  <si>
    <t>Andhra</t>
  </si>
  <si>
    <t>Sub Total: Uts</t>
  </si>
  <si>
    <t>NON PLAN EXPENDITURE - AS %AGE OF GSDP                                                    (IN PERCENT)</t>
  </si>
  <si>
    <t>PER CAPITA NON PLAN EXPENDITURE                  (In RUPEES)</t>
  </si>
  <si>
    <t>Population as on 1st March: RGI estimated</t>
  </si>
  <si>
    <t>TOTAL EXPENDITURE                                                                                            (Rs. Crore)</t>
  </si>
  <si>
    <t>POPULATION                                                                             (In Crore)</t>
  </si>
  <si>
    <t>PER CAPITA TOTAL EXPENDITURE                               (In Rupees)</t>
  </si>
  <si>
    <t>GROSS STATE DOMESTIC PRODUCT                             (Rs. Crore)</t>
  </si>
  <si>
    <t>POPULATION                                                           (In Crore)</t>
  </si>
  <si>
    <t>PER CAPITA COMMITTED EXPENDITURE                                       (In Rupees)</t>
  </si>
  <si>
    <t>POPULATION                                                                                       (In Crore)</t>
  </si>
  <si>
    <t>2009-10 LE</t>
  </si>
  <si>
    <t>2010-11 State Est.</t>
  </si>
  <si>
    <t>OWN TAX REVENUES                                                                      (Rs. Crore)</t>
  </si>
  <si>
    <t>TOTAL EXPENDITURE                                                             (Rs. Crore)</t>
  </si>
  <si>
    <t>Rs. Crore</t>
  </si>
  <si>
    <t>States/UT.s</t>
  </si>
  <si>
    <t>2007-12</t>
  </si>
  <si>
    <t>AGGREGATE RESOURCES  - CURRENT PRICES</t>
  </si>
  <si>
    <t>AGGREGATE RESOURCES  - CONSTANT (2006-07) PRICES</t>
  </si>
  <si>
    <t>Pre-actuals</t>
  </si>
  <si>
    <t>LE</t>
  </si>
  <si>
    <t>AP</t>
  </si>
  <si>
    <t>Total</t>
  </si>
  <si>
    <t>I.</t>
  </si>
  <si>
    <t>Non-Special Category</t>
  </si>
  <si>
    <t>Total NSCS</t>
  </si>
  <si>
    <t>II.</t>
  </si>
  <si>
    <t>Special Category States</t>
  </si>
  <si>
    <t>Jammu and Kashmir</t>
  </si>
  <si>
    <t>Total SCS</t>
  </si>
  <si>
    <t>All states</t>
  </si>
  <si>
    <t>NCT Delhi</t>
  </si>
  <si>
    <t>UTs (Total)</t>
  </si>
  <si>
    <t>GRAND TOTAL (STATES+UTS)</t>
  </si>
  <si>
    <t>GDP Deflators at 2006-07 Prices</t>
  </si>
  <si>
    <t>BCR - CURRENT PRICES</t>
  </si>
  <si>
    <t>BCR - CONSTANT (2006-07) PRICES</t>
  </si>
  <si>
    <t>others</t>
  </si>
  <si>
    <t>BORROWINGS  - CURRENT PRICES</t>
  </si>
  <si>
    <t>BORROWINGS  - CONSTANT (2006-07) PRICES</t>
  </si>
  <si>
    <t>CENTRAL ASSISTANCE  - CURRENT PRICES</t>
  </si>
  <si>
    <t>CENTRAL ASSISTANCE  - CONSTANT (2006-07) PRICES</t>
  </si>
  <si>
    <t>11th Plan Projection</t>
  </si>
  <si>
    <t>(2006-07 Prices)</t>
  </si>
  <si>
    <t>Realization (Actual Resources as %age of 11th Plan Proj.)</t>
  </si>
  <si>
    <t>Aggregate Resources - As %age of GSDP</t>
  </si>
  <si>
    <t>States Own Resources  - Current Prices</t>
  </si>
  <si>
    <t>States Own Resources  - Constant Prices</t>
  </si>
  <si>
    <t>Deflators</t>
  </si>
  <si>
    <t xml:space="preserve"> CONSTANT PRICES (2006-07) </t>
  </si>
  <si>
    <t xml:space="preserve"> CURRENT PRICES</t>
  </si>
  <si>
    <t>2007-12 (2006-07 Prices)</t>
  </si>
  <si>
    <t>TABLE 3 : AGGREGATE RESOURCES PROJECTION FOR 11TH PLAN AND RESOURCES REALIZATION DURING 11TH PLAN PERIOD  - STATES &amp; UTS</t>
  </si>
  <si>
    <t>States/'UTs</t>
  </si>
  <si>
    <t>Source: Book of Estimates of States for Annual Plan 2011-12 &amp; 2012-13</t>
  </si>
  <si>
    <t>Deflator - 2006-07 Prices</t>
  </si>
  <si>
    <t>Source: Book of Estimates for Annual Plan 2011-12 &amp; 2012-13</t>
  </si>
  <si>
    <t>TABLE 4 : AGREGAATE ACTUAL RESOURCES DURING THE 11TH PLAN - AS %AGE OF GSDP - STATES &amp; UTS</t>
  </si>
  <si>
    <t>(Average)</t>
  </si>
  <si>
    <t>AGGREGATE RESOURCES  - CURRENT PRICES                                              (Rs. Crore)</t>
  </si>
  <si>
    <t>Total 11th Plan</t>
  </si>
  <si>
    <t>All States</t>
  </si>
  <si>
    <t>Source: Book of Estmates of the States/'Uts for the Annual Plans 2011-12 &amp; 2012-13</t>
  </si>
  <si>
    <t>BCR - %age of GSDP</t>
  </si>
  <si>
    <t>BCR -  %age of Aggregate Resources</t>
  </si>
  <si>
    <t>TABLE 5 : BALANCE FROM THE CURRENT REVENUES DURING THE 11TH FIVE YEAR PLAN - FOR STATES &amp; 'UTs</t>
  </si>
  <si>
    <t>TABLE 6 : BALANCE FROM CURRENT REVENURES (BCR) DURING THE 11TH FIVE YEAR PLAN - STATES &amp; UTS - CURRENT PRICES</t>
  </si>
  <si>
    <t>Source - Book of Estimates of the States for Annual Plan 2011-12 and 2012-13</t>
  </si>
  <si>
    <t>(In Percent)</t>
  </si>
  <si>
    <t>TABLE 7 : OWN RESOURCES DURING 11TH PLAN FOR -  STATES &amp; UTS</t>
  </si>
  <si>
    <t>TABLE 8 : STATE OWN RESOURCES DURING 11TH PLAN FOR STATES &amp; UTS - CURRENT PRICES</t>
  </si>
  <si>
    <t>State Own Resources - % age of GSDP</t>
  </si>
  <si>
    <t>State Own Resources -  %age of Aggregate Resources</t>
  </si>
  <si>
    <t>TABLE 9 : TRENDS OF STATE BUDGETARY BORROWING DURING 11TH PLAN PERIOD -  FOR STATES &amp; UTS</t>
  </si>
  <si>
    <t>TABLE 10 : BUDGETARY BORROWING DURING THE 11TH PLAN FOR STATES &amp; UTS - CURRENT PRICES</t>
  </si>
  <si>
    <t>Budgetary Borrowing -  %age of GSDP</t>
  </si>
  <si>
    <t>Budgetary Borrowings - %age of Aggregate Resources</t>
  </si>
  <si>
    <t>In Percent</t>
  </si>
  <si>
    <t>CENTRAL ASSISTANCE - %age of GSDP</t>
  </si>
  <si>
    <t>CENTRAL ASSISTANCE - %age of Aggregate Resources</t>
  </si>
  <si>
    <t>TABLE 12 : TRENDS OF CENTRAL ASSISTANCE DURING THE 11TH PLAN - FOR STATES &amp; UTS</t>
  </si>
  <si>
    <t>TABLE 11 : TRENDS OF CENTRAL ASSISTANCE DURING THE 11TH PLAN - FOR STATES &amp; UTS</t>
  </si>
  <si>
    <t>TABLE 13 : TREND OF RESOURCES (IR+EBR) FROM PUBLIC SECTOR ENTERPRISES FOR PLAN FINANCING* - AS REPORTED BY THE STATES &amp; UTS</t>
  </si>
  <si>
    <t>Source: Fiscal Indicators of the States submitted alongwith Book of Estimates for Annual Plan 2012-13</t>
  </si>
  <si>
    <t>Source: Fiscal Indicators of States Book of Estimates for the Annual Plan Estimation of 2012-13</t>
  </si>
  <si>
    <t>Source: Fiscal Indicators of the States submitted alongwith Book of Estimates for 2012-13 Annual Plan</t>
  </si>
  <si>
    <r>
      <t xml:space="preserve">SALARY EXPENDITURE                                                                             </t>
    </r>
    <r>
      <rPr>
        <b/>
        <i/>
        <sz val="10"/>
        <rFont val="Tahoma"/>
        <family val="2"/>
      </rPr>
      <t>(AS %AGE OF PLAN EXPENDITURE)</t>
    </r>
  </si>
  <si>
    <t>PLAN EXPENDITURE                                                                  (Rs. crore)</t>
  </si>
  <si>
    <t>Pension Payment</t>
  </si>
  <si>
    <t>Revenue Expenditure</t>
  </si>
  <si>
    <t>Source: (i) Social Sector Expenditure - Statement 46 of State Finances (RBI) &amp; (ii) Total Expenditure - Fiscal Indicators of the States/Uts</t>
  </si>
  <si>
    <t>NON PLAN EXPENDITURE                                                            (PERCENT TO GSDP)</t>
  </si>
  <si>
    <t>COMMITTED EXPENDITURE                                                  (Rs.Crore)</t>
  </si>
  <si>
    <t>(Rs. crore)</t>
  </si>
  <si>
    <t>Items</t>
  </si>
  <si>
    <t>2011-12 (RE)</t>
  </si>
  <si>
    <t>2012-13 (BE)</t>
  </si>
  <si>
    <t>Share in Central Taxes &amp; Duties</t>
  </si>
  <si>
    <t>Source: Budget at a Glance</t>
  </si>
  <si>
    <t>Non Plan Grants &amp; Loans</t>
  </si>
  <si>
    <t>Grants</t>
  </si>
  <si>
    <t>Loans</t>
  </si>
  <si>
    <t>Central Assistance for State &amp; UT Plans**</t>
  </si>
  <si>
    <t xml:space="preserve">   Grants</t>
  </si>
  <si>
    <t xml:space="preserve">   Loans</t>
  </si>
  <si>
    <t>Of which:</t>
  </si>
  <si>
    <t xml:space="preserve">S t a t e s            </t>
  </si>
  <si>
    <t>(i) Normal Central Assistance (grants)</t>
  </si>
  <si>
    <t>Source: Statement 16 of Union Budget</t>
  </si>
  <si>
    <t>(ii) Special Plan Assistance (SPA)</t>
  </si>
  <si>
    <t>(iii) Special Central Assistance (untied)</t>
  </si>
  <si>
    <t>(iv) One Time ACA</t>
  </si>
  <si>
    <t>(iv) Other Schemewise ACA</t>
  </si>
  <si>
    <t>Assistance for Central &amp; Centrally Sponsored Schemes</t>
  </si>
  <si>
    <t>Total Grants &amp; Loans (2+3+4)</t>
  </si>
  <si>
    <t>Less: Recovery of Loans &amp; Advances</t>
  </si>
  <si>
    <t>Net Resoureces transferred to state &amp; UT Government (1+5-6)</t>
  </si>
  <si>
    <t>Direct Transfers*</t>
  </si>
  <si>
    <t>Total Transfers to States &amp; Uts</t>
  </si>
  <si>
    <t>(1+2+3+4+8)</t>
  </si>
  <si>
    <t>* Direct Releses to Autonomous Bodies/Implementing Agencies (including MPLADS)</t>
  </si>
  <si>
    <t>** Excluding UTs without Legislature &amp; MPLADS</t>
  </si>
  <si>
    <t xml:space="preserve">TABLE - 14 : CENTRAL TRANSFERS TO THE STATES &amp; UTS DURING 2007-08 &amp; 2012-13 </t>
  </si>
  <si>
    <t>TABLE 15: OWN TAX REVENUE OF STATES &amp; UTS</t>
  </si>
  <si>
    <t>Table 16: OWN TAX REVENUES - STATE SHARE &amp;  PERCENT GSDP</t>
  </si>
  <si>
    <t>TABLE 17: INTEREST PAYMENT - AS %age of TOTAL REVENUE RECIEPTS - FOR STATES &amp; UTS</t>
  </si>
  <si>
    <t>TABLE 18: REVENUE DEFICIT (+)/ SURPLUS (-): as % of GSDP - FOR STATES &amp; UTS</t>
  </si>
  <si>
    <t xml:space="preserve">States/Uts </t>
  </si>
  <si>
    <t>Actual Expenditure</t>
  </si>
  <si>
    <t>Revised Outlay</t>
  </si>
  <si>
    <t xml:space="preserve">Andhra Pradesh </t>
  </si>
  <si>
    <t>Chattisgarh</t>
  </si>
  <si>
    <t>*</t>
  </si>
  <si>
    <t>Total States</t>
  </si>
  <si>
    <t>A&amp;N Islands</t>
  </si>
  <si>
    <t>#</t>
  </si>
  <si>
    <t>Chandigarh</t>
  </si>
  <si>
    <t>D&amp;N Haveli</t>
  </si>
  <si>
    <t>Daman &amp; Diu</t>
  </si>
  <si>
    <t xml:space="preserve">Delhi </t>
  </si>
  <si>
    <t xml:space="preserve">Lakshadweep </t>
  </si>
  <si>
    <t>Total UTs</t>
  </si>
  <si>
    <t>Current Prices</t>
  </si>
  <si>
    <t>2006-07 Prices</t>
  </si>
  <si>
    <t>(Rs. Crores)</t>
  </si>
  <si>
    <t>11th Plan Total</t>
  </si>
  <si>
    <t>Sub Total SCS</t>
  </si>
  <si>
    <t>Non - Special Category States (SCS)</t>
  </si>
  <si>
    <t>Total (States &amp; UTs)</t>
  </si>
  <si>
    <t>Union Territories (UTs)</t>
  </si>
  <si>
    <t>Table -1 : Eleventh Plan (2007-12) - Actual Expenditure - States /UTs (as on 24/10/2011)</t>
  </si>
  <si>
    <t>%age realization</t>
  </si>
  <si>
    <t>11th Plan Projections</t>
  </si>
  <si>
    <t>Source: State Plan Coordination, Planning Commission</t>
  </si>
  <si>
    <t>Table -2 : Eleventh Plan (2007-12) - Actual Expenditure - % to GSDP -  States /Uts</t>
  </si>
  <si>
    <t>Actual Outlay/ Expenditure as %age of GSDP</t>
  </si>
  <si>
    <t>Actual Expenditure/ Outlay - Current Prices</t>
  </si>
  <si>
    <t>III.</t>
  </si>
  <si>
    <t>UTS</t>
  </si>
  <si>
    <t>Uts</t>
  </si>
  <si>
    <t>GRAND TOTAL (STATES+UTS) (I+II+III)</t>
  </si>
  <si>
    <t>Non-Special Category States</t>
  </si>
  <si>
    <t xml:space="preserve">UTs </t>
  </si>
  <si>
    <t>UTs</t>
  </si>
  <si>
    <t>TABLE 19: FISCAL DEFICIT (+)/SURPLUS (-): as % of GSDP</t>
  </si>
  <si>
    <t>States/ Uts</t>
  </si>
  <si>
    <t>TABLE 20: OUTSTANDING LIABILITIES OF STATES &amp;UTS (As %age GSDP</t>
  </si>
  <si>
    <t>TABLE 21 : SALARY EXPENDITURE AS PERCENTAGE OF PLAN EXPENDITURE - STATES &amp; UTS</t>
  </si>
  <si>
    <t>Table 22: Salary Expenditure as %age of Revenue Expenditure (net of IP &amp; Pension) - States &amp; Uts</t>
  </si>
  <si>
    <t>TABLE 23 : SALARY EXPENDITURE AS PERCENTAGE OF TOTAL EXPENDITURE FOR STATES &amp; UTS</t>
  </si>
  <si>
    <t>TOTAL EXPENDITURE                                                           (Rs. crore)</t>
  </si>
  <si>
    <t xml:space="preserve">TABLE 24: PUBIC EXPENDITURE RATIO (TOTAL EXPENDITURE/ GSDP) </t>
  </si>
  <si>
    <t>TABLE 25: SOCIAL ALLOCATION RATIO (SOCIAL SECTOR EXPENDITURE/ TOTAL EXPENDITURE))</t>
  </si>
  <si>
    <t>TABLE 26: PLAN EXPENDITURE AS %AGE OF GSDP</t>
  </si>
  <si>
    <t>PLAN EXPENDITURE                                                   (Rs. Crore)</t>
  </si>
  <si>
    <t>GSDP                                                                                          (Rs. Crore)</t>
  </si>
  <si>
    <t>TABLE 27: PER CAPITA PLAN EXPENDITURE</t>
  </si>
  <si>
    <t>PER CAPITA PLAN EXPENDITURE                               (In Rupees)</t>
  </si>
  <si>
    <t>TABLE 28: NON PLAN EXPENDITURE AS %AGE OF GSDP</t>
  </si>
  <si>
    <t>TABLE 29: PER CAPITA NON PLAN EXPENDITURE</t>
  </si>
  <si>
    <t>TABLE 30: PER CAPITA TOTAL EXPENDITURE</t>
  </si>
  <si>
    <t>TABLE 31: GSDP &amp; PER CAPITA STATE DOMESTIC PRODUCT (CURRENT PRICES)</t>
  </si>
  <si>
    <t>PER CAPITA STATE DOMESTIC PRODUCT              (In Rupees)</t>
  </si>
  <si>
    <t>Table 32: COMMITTED EXPENDITURE OF THE STATES (SALARIES+PENSIONS+INTEREST PAYMENTS)</t>
  </si>
  <si>
    <t xml:space="preserve">Revised Outlay </t>
  </si>
  <si>
    <t>11th Plan Average</t>
  </si>
  <si>
    <t>* : Revision not sought by States: Approved Outlay repeated</t>
  </si>
  <si>
    <t># : Anticipated Expenditure</t>
  </si>
  <si>
    <t>SALARY EXPENDITURE AS PERCENTAGE OF REVENUE EXPENDITURE (Net of IP &amp; Pension)</t>
  </si>
  <si>
    <t>GSDP - Current Prices (as on 1.08.2012)</t>
  </si>
  <si>
    <t>GSDP: Current Prices  CSO : as on 1.8.2012                                                                                                                  (Rs. Crore)</t>
  </si>
  <si>
    <t>GSDP (CSO - as on 1.08.2012)                                                                             (Rs.Crore)</t>
  </si>
  <si>
    <t>OWN TAX REVENUES                                                                          (As %age of GSDP)</t>
  </si>
  <si>
    <t>GSDP (CSO - as on 1.08.2012)                                                                       (Rs. Crore)</t>
  </si>
  <si>
    <t>GSDP - CSO as on 1.08.2012</t>
  </si>
  <si>
    <t>(CSO- as on 1.08.2012)</t>
  </si>
  <si>
    <t>Source: Fiscal Indicators of the State BoE of 2012-13</t>
  </si>
  <si>
    <t>State Domestic Product</t>
  </si>
  <si>
    <t>State/"UT.s</t>
  </si>
  <si>
    <t>States/'UT.s</t>
  </si>
  <si>
    <t>State/ UT.s</t>
  </si>
  <si>
    <t>States/ UT.s</t>
  </si>
  <si>
    <t>Source: CSO 1.08.2012</t>
  </si>
  <si>
    <t>GSDP - Current Prices                                                                                  (Rs. Crore)</t>
  </si>
  <si>
    <t>STATES/ UT.s</t>
  </si>
  <si>
    <t>GSDP - CURRENT PRICES                                                                              (Rs. Crore)</t>
  </si>
  <si>
    <t>NON PLAN EXPENDITURE                                                       (Rs. Crore)</t>
  </si>
  <si>
    <t>Source: CSO (as on 01-08-2012), used 13th FC growth for non-available periods.</t>
  </si>
  <si>
    <t>Pension Payments &amp; Revenue Expenditure   (Rs.Crore)</t>
  </si>
  <si>
    <t>NON PLAN EXPENDITURE                                                               (Rs. Crore)</t>
  </si>
  <si>
    <t>GSDP - CSO as on 1.8.2012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</si>
</sst>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00"/>
  </numFmts>
  <fonts count="9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i/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56"/>
      <name val="Tahoma"/>
      <family val="2"/>
    </font>
    <font>
      <sz val="10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name val="Bookman Old Style"/>
      <family val="1"/>
    </font>
    <font>
      <b/>
      <sz val="9"/>
      <name val="Tahoma"/>
      <family val="2"/>
    </font>
    <font>
      <b/>
      <sz val="9"/>
      <name val="Bookman Old Style"/>
      <family val="1"/>
    </font>
    <font>
      <sz val="11"/>
      <color indexed="8"/>
      <name val="Calibri"/>
      <family val="2"/>
    </font>
    <font>
      <b/>
      <sz val="8"/>
      <color indexed="81"/>
      <name val="Tahoma"/>
    </font>
    <font>
      <sz val="8"/>
      <color indexed="81"/>
      <name val="Tahoma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Bookman Old Style"/>
      <family val="1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i/>
      <sz val="11"/>
      <name val="Arial"/>
      <family val="2"/>
    </font>
    <font>
      <b/>
      <i/>
      <sz val="10"/>
      <name val="Bookman Old Style"/>
      <family val="1"/>
    </font>
    <font>
      <b/>
      <i/>
      <sz val="11"/>
      <name val="Arial"/>
      <family val="2"/>
    </font>
    <font>
      <i/>
      <sz val="11"/>
      <name val="Bookman Old Style"/>
      <family val="1"/>
    </font>
    <font>
      <i/>
      <sz val="10"/>
      <name val="Bookman Old Style"/>
      <family val="1"/>
    </font>
    <font>
      <sz val="8"/>
      <name val="Arial"/>
      <family val="2"/>
    </font>
    <font>
      <sz val="10"/>
      <name val="Courier"/>
    </font>
    <font>
      <sz val="8"/>
      <name val="Calibri"/>
      <family val="2"/>
    </font>
    <font>
      <b/>
      <u/>
      <sz val="10"/>
      <color indexed="8"/>
      <name val="Tahoma"/>
      <family val="2"/>
    </font>
    <font>
      <b/>
      <u/>
      <sz val="10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i/>
      <sz val="10"/>
      <color indexed="8"/>
      <name val="Tahoma"/>
      <family val="2"/>
    </font>
    <font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18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0"/>
      <color indexed="10"/>
      <name val="Tahoma"/>
      <family val="2"/>
    </font>
    <font>
      <i/>
      <sz val="11"/>
      <color indexed="10"/>
      <name val="Tahoma"/>
      <family val="2"/>
    </font>
    <font>
      <b/>
      <i/>
      <sz val="11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14"/>
      <color indexed="12"/>
      <name val="Tahoma"/>
      <family val="2"/>
    </font>
    <font>
      <b/>
      <sz val="12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3"/>
      <color indexed="12"/>
      <name val="Bookman Old Style"/>
      <family val="1"/>
    </font>
    <font>
      <b/>
      <sz val="14"/>
      <name val="Tahoma"/>
      <family val="2"/>
    </font>
    <font>
      <b/>
      <sz val="12"/>
      <color indexed="8"/>
      <name val="Bookman Old Style"/>
      <family val="1"/>
    </font>
    <font>
      <b/>
      <sz val="14"/>
      <name val="Bookman Old Style"/>
      <family val="1"/>
    </font>
    <font>
      <b/>
      <sz val="14"/>
      <color indexed="8"/>
      <name val="Bookman Old Style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2" fillId="0" borderId="0"/>
    <xf numFmtId="0" fontId="22" fillId="0" borderId="0"/>
    <xf numFmtId="0" fontId="28" fillId="0" borderId="0"/>
    <xf numFmtId="0" fontId="22" fillId="0" borderId="0"/>
    <xf numFmtId="39" fontId="64" fillId="0" borderId="0"/>
    <xf numFmtId="39" fontId="64" fillId="0" borderId="0"/>
    <xf numFmtId="0" fontId="1" fillId="0" borderId="0"/>
    <xf numFmtId="0" fontId="28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3">
    <xf numFmtId="0" fontId="0" fillId="0" borderId="0" xfId="0"/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Fill="1" applyBorder="1"/>
    <xf numFmtId="0" fontId="6" fillId="0" borderId="10" xfId="0" applyFont="1" applyBorder="1"/>
    <xf numFmtId="0" fontId="0" fillId="0" borderId="11" xfId="0" applyBorder="1"/>
    <xf numFmtId="0" fontId="0" fillId="0" borderId="10" xfId="0" applyBorder="1"/>
    <xf numFmtId="2" fontId="6" fillId="0" borderId="10" xfId="0" applyNumberFormat="1" applyFont="1" applyFill="1" applyBorder="1"/>
    <xf numFmtId="2" fontId="6" fillId="0" borderId="10" xfId="0" applyNumberFormat="1" applyFont="1" applyBorder="1"/>
    <xf numFmtId="2" fontId="6" fillId="0" borderId="12" xfId="0" applyNumberFormat="1" applyFont="1" applyBorder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0" fontId="0" fillId="0" borderId="0" xfId="0" applyFill="1"/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/>
    <xf numFmtId="0" fontId="4" fillId="0" borderId="0" xfId="0" applyFont="1" applyFill="1"/>
    <xf numFmtId="1" fontId="6" fillId="0" borderId="10" xfId="0" applyNumberFormat="1" applyFont="1" applyFill="1" applyBorder="1"/>
    <xf numFmtId="0" fontId="0" fillId="0" borderId="10" xfId="0" applyFill="1" applyBorder="1"/>
    <xf numFmtId="0" fontId="2" fillId="0" borderId="0" xfId="0" applyFont="1"/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3" fillId="0" borderId="13" xfId="0" applyFont="1" applyFill="1" applyBorder="1" applyAlignment="1">
      <alignment horizontal="center" vertical="top" wrapText="1"/>
    </xf>
    <xf numFmtId="0" fontId="6" fillId="0" borderId="0" xfId="0" applyFont="1"/>
    <xf numFmtId="14" fontId="5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1" fillId="0" borderId="0" xfId="0" applyFont="1" applyAlignment="1"/>
    <xf numFmtId="0" fontId="10" fillId="0" borderId="10" xfId="0" applyFont="1" applyBorder="1"/>
    <xf numFmtId="0" fontId="11" fillId="0" borderId="10" xfId="0" applyFont="1" applyBorder="1"/>
    <xf numFmtId="0" fontId="11" fillId="0" borderId="10" xfId="0" applyFont="1" applyFill="1" applyBorder="1"/>
    <xf numFmtId="0" fontId="10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0" xfId="0" applyFont="1" applyFill="1"/>
    <xf numFmtId="2" fontId="5" fillId="0" borderId="10" xfId="0" applyNumberFormat="1" applyFont="1" applyBorder="1"/>
    <xf numFmtId="2" fontId="5" fillId="0" borderId="10" xfId="0" applyNumberFormat="1" applyFont="1" applyBorder="1" applyAlignment="1">
      <alignment horizontal="right"/>
    </xf>
    <xf numFmtId="0" fontId="11" fillId="0" borderId="0" xfId="0" applyFont="1"/>
    <xf numFmtId="2" fontId="11" fillId="0" borderId="10" xfId="0" applyNumberFormat="1" applyFont="1" applyBorder="1" applyProtection="1">
      <protection locked="0"/>
    </xf>
    <xf numFmtId="2" fontId="10" fillId="0" borderId="0" xfId="0" applyNumberFormat="1" applyFont="1"/>
    <xf numFmtId="0" fontId="12" fillId="0" borderId="0" xfId="0" applyFont="1" applyBorder="1" applyAlignment="1">
      <alignment vertical="center" wrapText="1"/>
    </xf>
    <xf numFmtId="0" fontId="13" fillId="24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24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0" xfId="0" applyFont="1"/>
    <xf numFmtId="0" fontId="12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0" xfId="0" applyFont="1" applyFill="1" applyBorder="1"/>
    <xf numFmtId="0" fontId="14" fillId="0" borderId="10" xfId="0" applyFont="1" applyBorder="1"/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/>
    <xf numFmtId="2" fontId="14" fillId="0" borderId="10" xfId="0" applyNumberFormat="1" applyFont="1" applyFill="1" applyBorder="1"/>
    <xf numFmtId="1" fontId="6" fillId="0" borderId="10" xfId="0" applyNumberFormat="1" applyFont="1" applyFill="1" applyBorder="1" applyAlignment="1">
      <alignment horizontal="right"/>
    </xf>
    <xf numFmtId="0" fontId="14" fillId="0" borderId="0" xfId="0" applyFont="1" applyFill="1"/>
    <xf numFmtId="2" fontId="12" fillId="0" borderId="10" xfId="0" applyNumberFormat="1" applyFont="1" applyFill="1" applyBorder="1"/>
    <xf numFmtId="1" fontId="12" fillId="0" borderId="10" xfId="0" applyNumberFormat="1" applyFont="1" applyFill="1" applyBorder="1"/>
    <xf numFmtId="0" fontId="12" fillId="0" borderId="0" xfId="0" applyFont="1" applyFill="1"/>
    <xf numFmtId="2" fontId="14" fillId="0" borderId="10" xfId="0" applyNumberFormat="1" applyFont="1" applyBorder="1"/>
    <xf numFmtId="1" fontId="14" fillId="0" borderId="10" xfId="0" applyNumberFormat="1" applyFont="1" applyFill="1" applyBorder="1"/>
    <xf numFmtId="0" fontId="14" fillId="0" borderId="0" xfId="0" applyFont="1" applyAlignment="1">
      <alignment horizontal="center"/>
    </xf>
    <xf numFmtId="1" fontId="1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/>
    <xf numFmtId="2" fontId="6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/>
    <xf numFmtId="0" fontId="5" fillId="0" borderId="0" xfId="0" applyFont="1"/>
    <xf numFmtId="0" fontId="3" fillId="24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Border="1"/>
    <xf numFmtId="1" fontId="5" fillId="0" borderId="10" xfId="0" applyNumberFormat="1" applyFont="1" applyBorder="1"/>
    <xf numFmtId="0" fontId="4" fillId="0" borderId="0" xfId="0" applyFont="1"/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7" fillId="0" borderId="0" xfId="0" applyFont="1"/>
    <xf numFmtId="164" fontId="6" fillId="0" borderId="10" xfId="0" applyNumberFormat="1" applyFont="1" applyBorder="1"/>
    <xf numFmtId="164" fontId="5" fillId="0" borderId="10" xfId="0" applyNumberFormat="1" applyFont="1" applyBorder="1"/>
    <xf numFmtId="0" fontId="6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/>
    <xf numFmtId="2" fontId="16" fillId="0" borderId="10" xfId="0" applyNumberFormat="1" applyFont="1" applyFill="1" applyBorder="1"/>
    <xf numFmtId="0" fontId="17" fillId="0" borderId="0" xfId="0" applyFont="1" applyFill="1"/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/>
    <xf numFmtId="164" fontId="5" fillId="0" borderId="10" xfId="0" applyNumberFormat="1" applyFont="1" applyFill="1" applyBorder="1"/>
    <xf numFmtId="164" fontId="6" fillId="0" borderId="10" xfId="0" applyNumberFormat="1" applyFont="1" applyFill="1" applyBorder="1"/>
    <xf numFmtId="1" fontId="21" fillId="0" borderId="10" xfId="0" applyNumberFormat="1" applyFont="1" applyFill="1" applyBorder="1"/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39" applyFont="1"/>
    <xf numFmtId="0" fontId="5" fillId="0" borderId="10" xfId="39" applyFont="1" applyBorder="1" applyAlignment="1">
      <alignment horizontal="center" vertical="center" wrapText="1"/>
    </xf>
    <xf numFmtId="0" fontId="5" fillId="0" borderId="0" xfId="39" applyFont="1"/>
    <xf numFmtId="0" fontId="6" fillId="0" borderId="10" xfId="39" applyFont="1" applyBorder="1"/>
    <xf numFmtId="0" fontId="5" fillId="0" borderId="10" xfId="39" applyFont="1" applyBorder="1"/>
    <xf numFmtId="2" fontId="6" fillId="0" borderId="10" xfId="39" applyNumberFormat="1" applyFont="1" applyBorder="1"/>
    <xf numFmtId="0" fontId="6" fillId="0" borderId="10" xfId="39" applyFont="1" applyBorder="1" applyAlignment="1">
      <alignment horizontal="center"/>
    </xf>
    <xf numFmtId="2" fontId="6" fillId="0" borderId="10" xfId="39" applyNumberFormat="1" applyFont="1" applyBorder="1" applyAlignment="1">
      <alignment horizontal="right"/>
    </xf>
    <xf numFmtId="0" fontId="6" fillId="0" borderId="10" xfId="39" applyFont="1" applyFill="1" applyBorder="1" applyAlignment="1">
      <alignment horizontal="center"/>
    </xf>
    <xf numFmtId="0" fontId="6" fillId="0" borderId="10" xfId="39" applyFont="1" applyFill="1" applyBorder="1"/>
    <xf numFmtId="0" fontId="6" fillId="0" borderId="0" xfId="39" applyFont="1" applyFill="1"/>
    <xf numFmtId="2" fontId="5" fillId="0" borderId="10" xfId="39" applyNumberFormat="1" applyFont="1" applyBorder="1" applyAlignment="1">
      <alignment horizontal="right"/>
    </xf>
    <xf numFmtId="2" fontId="5" fillId="0" borderId="10" xfId="39" applyNumberFormat="1" applyFont="1" applyFill="1" applyBorder="1"/>
    <xf numFmtId="2" fontId="5" fillId="0" borderId="10" xfId="39" applyNumberFormat="1" applyFont="1" applyBorder="1"/>
    <xf numFmtId="0" fontId="25" fillId="0" borderId="10" xfId="39" applyFont="1" applyFill="1" applyBorder="1" applyAlignment="1">
      <alignment horizontal="center" vertical="top" wrapText="1"/>
    </xf>
    <xf numFmtId="14" fontId="5" fillId="2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4" fontId="5" fillId="25" borderId="12" xfId="0" applyNumberFormat="1" applyFont="1" applyFill="1" applyBorder="1" applyAlignment="1">
      <alignment horizontal="center" vertical="top" wrapText="1"/>
    </xf>
    <xf numFmtId="14" fontId="5" fillId="25" borderId="10" xfId="0" applyNumberFormat="1" applyFont="1" applyFill="1" applyBorder="1" applyAlignment="1">
      <alignment horizontal="center" vertical="top" wrapText="1"/>
    </xf>
    <xf numFmtId="14" fontId="5" fillId="25" borderId="10" xfId="0" applyNumberFormat="1" applyFont="1" applyFill="1" applyBorder="1" applyAlignment="1">
      <alignment horizontal="center" vertical="top"/>
    </xf>
    <xf numFmtId="14" fontId="11" fillId="25" borderId="12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5" fillId="0" borderId="12" xfId="39" applyFont="1" applyFill="1" applyBorder="1" applyAlignment="1">
      <alignment horizontal="center" vertical="center" wrapText="1"/>
    </xf>
    <xf numFmtId="14" fontId="5" fillId="0" borderId="12" xfId="39" applyNumberFormat="1" applyFont="1" applyFill="1" applyBorder="1" applyAlignment="1">
      <alignment horizontal="center" vertical="top"/>
    </xf>
    <xf numFmtId="0" fontId="5" fillId="0" borderId="10" xfId="39" applyFont="1" applyFill="1" applyBorder="1" applyAlignment="1">
      <alignment horizontal="center" vertical="center" wrapText="1"/>
    </xf>
    <xf numFmtId="1" fontId="6" fillId="0" borderId="10" xfId="39" applyNumberFormat="1" applyFont="1" applyFill="1" applyBorder="1" applyAlignment="1">
      <alignment horizontal="right"/>
    </xf>
    <xf numFmtId="1" fontId="6" fillId="0" borderId="10" xfId="39" applyNumberFormat="1" applyFont="1" applyFill="1" applyBorder="1"/>
    <xf numFmtId="165" fontId="12" fillId="0" borderId="10" xfId="39" applyNumberFormat="1" applyFont="1" applyFill="1" applyBorder="1" applyAlignment="1">
      <alignment horizontal="center" vertical="top" wrapText="1"/>
    </xf>
    <xf numFmtId="1" fontId="5" fillId="0" borderId="10" xfId="39" applyNumberFormat="1" applyFont="1" applyFill="1" applyBorder="1"/>
    <xf numFmtId="0" fontId="26" fillId="0" borderId="10" xfId="39" applyFont="1" applyBorder="1"/>
    <xf numFmtId="1" fontId="26" fillId="0" borderId="10" xfId="39" applyNumberFormat="1" applyFont="1" applyFill="1" applyBorder="1"/>
    <xf numFmtId="0" fontId="26" fillId="0" borderId="0" xfId="39" applyFont="1"/>
    <xf numFmtId="1" fontId="6" fillId="0" borderId="10" xfId="39" applyNumberFormat="1" applyFont="1" applyBorder="1"/>
    <xf numFmtId="1" fontId="26" fillId="0" borderId="10" xfId="39" applyNumberFormat="1" applyFont="1" applyBorder="1"/>
    <xf numFmtId="14" fontId="6" fillId="0" borderId="0" xfId="39" applyNumberFormat="1" applyFont="1"/>
    <xf numFmtId="0" fontId="5" fillId="0" borderId="10" xfId="39" applyFont="1" applyBorder="1" applyAlignment="1">
      <alignment vertical="top" wrapText="1"/>
    </xf>
    <xf numFmtId="0" fontId="14" fillId="0" borderId="10" xfId="39" applyFont="1" applyFill="1" applyBorder="1" applyAlignment="1">
      <alignment horizontal="center" wrapText="1"/>
    </xf>
    <xf numFmtId="2" fontId="14" fillId="0" borderId="0" xfId="39" applyNumberFormat="1" applyFont="1" applyFill="1" applyBorder="1" applyAlignment="1">
      <alignment wrapText="1"/>
    </xf>
    <xf numFmtId="0" fontId="14" fillId="0" borderId="0" xfId="39" applyFont="1" applyFill="1" applyBorder="1" applyAlignment="1">
      <alignment wrapText="1"/>
    </xf>
    <xf numFmtId="0" fontId="12" fillId="0" borderId="0" xfId="39" applyFont="1" applyFill="1" applyBorder="1" applyAlignment="1">
      <alignment wrapText="1"/>
    </xf>
    <xf numFmtId="164" fontId="14" fillId="0" borderId="0" xfId="39" applyNumberFormat="1" applyFont="1" applyFill="1" applyBorder="1" applyAlignment="1">
      <alignment wrapText="1"/>
    </xf>
    <xf numFmtId="0" fontId="14" fillId="0" borderId="0" xfId="39" applyFont="1" applyFill="1" applyBorder="1" applyAlignment="1">
      <alignment horizontal="center" wrapText="1"/>
    </xf>
    <xf numFmtId="0" fontId="12" fillId="0" borderId="10" xfId="39" applyFont="1" applyFill="1" applyBorder="1" applyAlignment="1">
      <alignment horizontal="center" wrapText="1"/>
    </xf>
    <xf numFmtId="2" fontId="12" fillId="0" borderId="0" xfId="39" applyNumberFormat="1" applyFont="1" applyFill="1" applyBorder="1" applyAlignment="1">
      <alignment wrapText="1"/>
    </xf>
    <xf numFmtId="0" fontId="50" fillId="0" borderId="0" xfId="39" applyFont="1" applyFill="1" applyBorder="1" applyAlignment="1">
      <alignment wrapText="1"/>
    </xf>
    <xf numFmtId="0" fontId="49" fillId="0" borderId="10" xfId="39" applyFont="1" applyFill="1" applyBorder="1" applyAlignment="1">
      <alignment horizontal="center" vertical="top" wrapText="1"/>
    </xf>
    <xf numFmtId="0" fontId="51" fillId="0" borderId="0" xfId="39" applyFont="1" applyFill="1" applyBorder="1" applyAlignment="1">
      <alignment wrapText="1"/>
    </xf>
    <xf numFmtId="165" fontId="49" fillId="0" borderId="10" xfId="39" applyNumberFormat="1" applyFont="1" applyFill="1" applyBorder="1" applyAlignment="1">
      <alignment horizontal="center" wrapText="1"/>
    </xf>
    <xf numFmtId="0" fontId="49" fillId="0" borderId="10" xfId="39" applyFont="1" applyFill="1" applyBorder="1" applyAlignment="1">
      <alignment vertical="top" wrapText="1"/>
    </xf>
    <xf numFmtId="2" fontId="50" fillId="0" borderId="10" xfId="39" applyNumberFormat="1" applyFont="1" applyFill="1" applyBorder="1" applyAlignment="1">
      <alignment wrapText="1"/>
    </xf>
    <xf numFmtId="2" fontId="52" fillId="0" borderId="10" xfId="39" applyNumberFormat="1" applyFont="1" applyFill="1" applyBorder="1" applyAlignment="1">
      <alignment wrapText="1"/>
    </xf>
    <xf numFmtId="0" fontId="52" fillId="0" borderId="0" xfId="39" applyFont="1" applyFill="1" applyBorder="1" applyAlignment="1">
      <alignment wrapText="1"/>
    </xf>
    <xf numFmtId="0" fontId="50" fillId="0" borderId="0" xfId="39" applyFont="1" applyFill="1" applyBorder="1" applyAlignment="1">
      <alignment horizontal="center" wrapText="1"/>
    </xf>
    <xf numFmtId="2" fontId="50" fillId="0" borderId="0" xfId="39" applyNumberFormat="1" applyFont="1" applyFill="1" applyBorder="1" applyAlignment="1">
      <alignment wrapText="1"/>
    </xf>
    <xf numFmtId="0" fontId="54" fillId="0" borderId="10" xfId="40" applyFont="1" applyFill="1" applyBorder="1" applyAlignment="1">
      <alignment horizontal="center" vertical="center"/>
    </xf>
    <xf numFmtId="0" fontId="54" fillId="0" borderId="10" xfId="40" applyFont="1" applyFill="1" applyBorder="1"/>
    <xf numFmtId="0" fontId="53" fillId="0" borderId="10" xfId="40" applyFont="1" applyFill="1" applyBorder="1" applyAlignment="1">
      <alignment horizontal="center" vertical="center"/>
    </xf>
    <xf numFmtId="0" fontId="53" fillId="0" borderId="10" xfId="40" applyFont="1" applyFill="1" applyBorder="1"/>
    <xf numFmtId="0" fontId="54" fillId="0" borderId="10" xfId="39" applyFont="1" applyFill="1" applyBorder="1"/>
    <xf numFmtId="1" fontId="53" fillId="0" borderId="10" xfId="40" applyNumberFormat="1" applyFont="1" applyFill="1" applyBorder="1"/>
    <xf numFmtId="1" fontId="52" fillId="0" borderId="10" xfId="39" applyNumberFormat="1" applyFont="1" applyFill="1" applyBorder="1" applyAlignment="1">
      <alignment wrapText="1"/>
    </xf>
    <xf numFmtId="1" fontId="50" fillId="0" borderId="10" xfId="39" applyNumberFormat="1" applyFont="1" applyFill="1" applyBorder="1" applyAlignment="1">
      <alignment wrapText="1"/>
    </xf>
    <xf numFmtId="1" fontId="50" fillId="0" borderId="0" xfId="39" applyNumberFormat="1" applyFont="1" applyFill="1" applyBorder="1" applyAlignment="1">
      <alignment wrapText="1"/>
    </xf>
    <xf numFmtId="0" fontId="27" fillId="0" borderId="10" xfId="39" applyFont="1" applyFill="1" applyBorder="1" applyAlignment="1">
      <alignment horizontal="center" vertical="top" wrapText="1"/>
    </xf>
    <xf numFmtId="2" fontId="14" fillId="0" borderId="10" xfId="39" applyNumberFormat="1" applyFont="1" applyFill="1" applyBorder="1" applyAlignment="1">
      <alignment wrapText="1"/>
    </xf>
    <xf numFmtId="1" fontId="48" fillId="0" borderId="0" xfId="39" applyNumberFormat="1" applyFont="1" applyFill="1" applyBorder="1" applyAlignment="1">
      <alignment horizontal="center"/>
    </xf>
    <xf numFmtId="165" fontId="48" fillId="0" borderId="0" xfId="39" applyNumberFormat="1" applyFont="1" applyFill="1" applyBorder="1" applyAlignment="1">
      <alignment horizontal="center"/>
    </xf>
    <xf numFmtId="1" fontId="48" fillId="0" borderId="0" xfId="39" applyNumberFormat="1" applyFont="1" applyFill="1" applyBorder="1"/>
    <xf numFmtId="165" fontId="48" fillId="0" borderId="0" xfId="39" applyNumberFormat="1" applyFont="1" applyFill="1" applyBorder="1"/>
    <xf numFmtId="0" fontId="4" fillId="0" borderId="10" xfId="39" applyFont="1" applyFill="1" applyBorder="1" applyAlignment="1">
      <alignment horizontal="center" vertical="top" wrapText="1"/>
    </xf>
    <xf numFmtId="0" fontId="55" fillId="0" borderId="10" xfId="40" applyFont="1" applyFill="1" applyBorder="1"/>
    <xf numFmtId="0" fontId="56" fillId="0" borderId="10" xfId="40" applyFont="1" applyFill="1" applyBorder="1"/>
    <xf numFmtId="2" fontId="14" fillId="0" borderId="10" xfId="39" applyNumberFormat="1" applyFont="1" applyFill="1" applyBorder="1" applyAlignment="1"/>
    <xf numFmtId="2" fontId="12" fillId="0" borderId="10" xfId="39" applyNumberFormat="1" applyFont="1" applyFill="1" applyBorder="1" applyAlignment="1">
      <alignment wrapText="1"/>
    </xf>
    <xf numFmtId="0" fontId="55" fillId="0" borderId="10" xfId="39" applyFont="1" applyFill="1" applyBorder="1"/>
    <xf numFmtId="0" fontId="12" fillId="0" borderId="0" xfId="39" applyFont="1" applyFill="1" applyBorder="1" applyAlignment="1">
      <alignment horizontal="center" wrapText="1"/>
    </xf>
    <xf numFmtId="164" fontId="12" fillId="0" borderId="0" xfId="39" applyNumberFormat="1" applyFont="1" applyFill="1" applyBorder="1" applyAlignment="1">
      <alignment wrapText="1"/>
    </xf>
    <xf numFmtId="166" fontId="12" fillId="0" borderId="0" xfId="39" applyNumberFormat="1" applyFont="1" applyFill="1" applyBorder="1" applyAlignment="1">
      <alignment wrapText="1"/>
    </xf>
    <xf numFmtId="0" fontId="55" fillId="0" borderId="10" xfId="40" applyFont="1" applyFill="1" applyBorder="1" applyAlignment="1">
      <alignment horizontal="center" vertical="center"/>
    </xf>
    <xf numFmtId="0" fontId="27" fillId="0" borderId="15" xfId="39" applyFont="1" applyFill="1" applyBorder="1" applyAlignment="1">
      <alignment horizontal="center" vertical="top" wrapText="1"/>
    </xf>
    <xf numFmtId="0" fontId="56" fillId="0" borderId="10" xfId="40" applyFont="1" applyFill="1" applyBorder="1" applyAlignment="1">
      <alignment horizontal="center" vertical="center"/>
    </xf>
    <xf numFmtId="0" fontId="12" fillId="0" borderId="10" xfId="39" applyFont="1" applyFill="1" applyBorder="1" applyAlignment="1">
      <alignment horizontal="center" vertical="top" wrapText="1"/>
    </xf>
    <xf numFmtId="0" fontId="55" fillId="0" borderId="0" xfId="39" applyFont="1" applyFill="1" applyBorder="1" applyAlignment="1">
      <alignment horizontal="center"/>
    </xf>
    <xf numFmtId="0" fontId="60" fillId="0" borderId="0" xfId="39" applyFont="1" applyFill="1" applyBorder="1" applyAlignment="1">
      <alignment horizontal="center"/>
    </xf>
    <xf numFmtId="0" fontId="25" fillId="0" borderId="10" xfId="40" applyFont="1" applyFill="1" applyBorder="1" applyAlignment="1">
      <alignment horizontal="center" vertical="center"/>
    </xf>
    <xf numFmtId="0" fontId="25" fillId="0" borderId="10" xfId="40" applyFont="1" applyFill="1" applyBorder="1"/>
    <xf numFmtId="0" fontId="48" fillId="0" borderId="10" xfId="40" applyFont="1" applyFill="1" applyBorder="1" applyAlignment="1">
      <alignment horizontal="center" vertical="center"/>
    </xf>
    <xf numFmtId="0" fontId="48" fillId="0" borderId="10" xfId="40" applyFont="1" applyFill="1" applyBorder="1"/>
    <xf numFmtId="0" fontId="48" fillId="0" borderId="0" xfId="39" applyFont="1" applyFill="1" applyBorder="1" applyAlignment="1">
      <alignment horizontal="center"/>
    </xf>
    <xf numFmtId="0" fontId="25" fillId="0" borderId="10" xfId="39" applyFont="1" applyFill="1" applyBorder="1"/>
    <xf numFmtId="0" fontId="61" fillId="0" borderId="0" xfId="39" applyFont="1" applyFill="1" applyBorder="1" applyAlignment="1">
      <alignment horizontal="center"/>
    </xf>
    <xf numFmtId="0" fontId="12" fillId="0" borderId="10" xfId="40" applyFont="1" applyFill="1" applyBorder="1"/>
    <xf numFmtId="2" fontId="14" fillId="0" borderId="10" xfId="40" applyNumberFormat="1" applyFont="1" applyFill="1" applyBorder="1" applyAlignment="1">
      <alignment horizontal="right"/>
    </xf>
    <xf numFmtId="2" fontId="12" fillId="0" borderId="10" xfId="40" applyNumberFormat="1" applyFont="1" applyFill="1" applyBorder="1" applyAlignment="1">
      <alignment horizontal="right"/>
    </xf>
    <xf numFmtId="1" fontId="14" fillId="0" borderId="0" xfId="39" applyNumberFormat="1" applyFont="1" applyFill="1" applyBorder="1" applyAlignment="1">
      <alignment horizontal="center"/>
    </xf>
    <xf numFmtId="165" fontId="14" fillId="0" borderId="0" xfId="39" applyNumberFormat="1" applyFont="1" applyFill="1" applyBorder="1" applyAlignment="1">
      <alignment horizontal="center"/>
    </xf>
    <xf numFmtId="0" fontId="48" fillId="0" borderId="0" xfId="39" applyFont="1" applyFill="1" applyBorder="1" applyAlignment="1">
      <alignment horizontal="center" wrapText="1"/>
    </xf>
    <xf numFmtId="0" fontId="48" fillId="0" borderId="0" xfId="39" applyFont="1" applyFill="1" applyBorder="1" applyAlignment="1">
      <alignment wrapText="1"/>
    </xf>
    <xf numFmtId="0" fontId="25" fillId="0" borderId="0" xfId="39" applyFont="1" applyFill="1" applyBorder="1" applyAlignment="1">
      <alignment wrapText="1"/>
    </xf>
    <xf numFmtId="0" fontId="25" fillId="0" borderId="10" xfId="39" applyFont="1" applyFill="1" applyBorder="1" applyAlignment="1">
      <alignment vertical="top" wrapText="1"/>
    </xf>
    <xf numFmtId="0" fontId="53" fillId="0" borderId="10" xfId="39" applyFont="1" applyFill="1" applyBorder="1" applyAlignment="1">
      <alignment horizontal="center"/>
    </xf>
    <xf numFmtId="0" fontId="54" fillId="0" borderId="10" xfId="39" applyFont="1" applyFill="1" applyBorder="1" applyAlignment="1">
      <alignment horizontal="center"/>
    </xf>
    <xf numFmtId="0" fontId="48" fillId="0" borderId="10" xfId="39" applyFont="1" applyFill="1" applyBorder="1" applyAlignment="1">
      <alignment horizontal="center"/>
    </xf>
    <xf numFmtId="0" fontId="61" fillId="0" borderId="10" xfId="39" applyFont="1" applyFill="1" applyBorder="1" applyAlignment="1">
      <alignment horizontal="center"/>
    </xf>
    <xf numFmtId="0" fontId="53" fillId="0" borderId="10" xfId="40" applyFont="1" applyFill="1" applyBorder="1" applyAlignment="1">
      <alignment horizontal="right"/>
    </xf>
    <xf numFmtId="1" fontId="14" fillId="0" borderId="10" xfId="39" applyNumberFormat="1" applyFont="1" applyFill="1" applyBorder="1" applyAlignment="1">
      <alignment wrapText="1"/>
    </xf>
    <xf numFmtId="1" fontId="14" fillId="0" borderId="10" xfId="39" applyNumberFormat="1" applyFont="1" applyFill="1" applyBorder="1" applyAlignment="1"/>
    <xf numFmtId="1" fontId="12" fillId="0" borderId="10" xfId="39" applyNumberFormat="1" applyFont="1" applyFill="1" applyBorder="1" applyAlignment="1">
      <alignment wrapText="1"/>
    </xf>
    <xf numFmtId="1" fontId="14" fillId="0" borderId="10" xfId="39" applyNumberFormat="1" applyFont="1" applyFill="1" applyBorder="1" applyAlignment="1">
      <alignment horizontal="right"/>
    </xf>
    <xf numFmtId="0" fontId="5" fillId="0" borderId="10" xfId="39" applyFont="1" applyFill="1" applyBorder="1"/>
    <xf numFmtId="0" fontId="49" fillId="26" borderId="10" xfId="39" applyFont="1" applyFill="1" applyBorder="1" applyAlignment="1">
      <alignment horizontal="center" vertical="top" wrapText="1"/>
    </xf>
    <xf numFmtId="0" fontId="54" fillId="26" borderId="10" xfId="40" applyFont="1" applyFill="1" applyBorder="1"/>
    <xf numFmtId="1" fontId="53" fillId="26" borderId="10" xfId="40" applyNumberFormat="1" applyFont="1" applyFill="1" applyBorder="1"/>
    <xf numFmtId="0" fontId="53" fillId="26" borderId="10" xfId="40" applyFont="1" applyFill="1" applyBorder="1"/>
    <xf numFmtId="2" fontId="52" fillId="26" borderId="10" xfId="39" applyNumberFormat="1" applyFont="1" applyFill="1" applyBorder="1" applyAlignment="1">
      <alignment wrapText="1"/>
    </xf>
    <xf numFmtId="165" fontId="49" fillId="27" borderId="10" xfId="39" applyNumberFormat="1" applyFont="1" applyFill="1" applyBorder="1" applyAlignment="1">
      <alignment horizontal="center" wrapText="1"/>
    </xf>
    <xf numFmtId="0" fontId="49" fillId="27" borderId="10" xfId="39" applyFont="1" applyFill="1" applyBorder="1" applyAlignment="1">
      <alignment horizontal="center" vertical="top" wrapText="1"/>
    </xf>
    <xf numFmtId="2" fontId="49" fillId="27" borderId="10" xfId="39" applyNumberFormat="1" applyFont="1" applyFill="1" applyBorder="1" applyAlignment="1">
      <alignment horizontal="center" vertical="top" wrapText="1"/>
    </xf>
    <xf numFmtId="1" fontId="50" fillId="27" borderId="10" xfId="39" applyNumberFormat="1" applyFont="1" applyFill="1" applyBorder="1" applyAlignment="1">
      <alignment wrapText="1"/>
    </xf>
    <xf numFmtId="1" fontId="52" fillId="27" borderId="10" xfId="39" applyNumberFormat="1" applyFont="1" applyFill="1" applyBorder="1" applyAlignment="1">
      <alignment wrapText="1"/>
    </xf>
    <xf numFmtId="165" fontId="49" fillId="28" borderId="10" xfId="39" applyNumberFormat="1" applyFont="1" applyFill="1" applyBorder="1" applyAlignment="1">
      <alignment horizontal="center" wrapText="1"/>
    </xf>
    <xf numFmtId="0" fontId="49" fillId="28" borderId="10" xfId="39" applyFont="1" applyFill="1" applyBorder="1" applyAlignment="1">
      <alignment horizontal="center" vertical="top" wrapText="1"/>
    </xf>
    <xf numFmtId="1" fontId="50" fillId="28" borderId="10" xfId="39" applyNumberFormat="1" applyFont="1" applyFill="1" applyBorder="1" applyAlignment="1">
      <alignment wrapText="1"/>
    </xf>
    <xf numFmtId="1" fontId="52" fillId="28" borderId="10" xfId="39" applyNumberFormat="1" applyFont="1" applyFill="1" applyBorder="1" applyAlignment="1">
      <alignment wrapText="1"/>
    </xf>
    <xf numFmtId="2" fontId="50" fillId="29" borderId="10" xfId="39" applyNumberFormat="1" applyFont="1" applyFill="1" applyBorder="1" applyAlignment="1">
      <alignment wrapText="1"/>
    </xf>
    <xf numFmtId="2" fontId="52" fillId="29" borderId="10" xfId="39" applyNumberFormat="1" applyFont="1" applyFill="1" applyBorder="1" applyAlignment="1">
      <alignment wrapText="1"/>
    </xf>
    <xf numFmtId="0" fontId="51" fillId="0" borderId="0" xfId="39" applyFont="1" applyFill="1" applyBorder="1" applyAlignment="1">
      <alignment horizontal="center" vertical="top" wrapText="1"/>
    </xf>
    <xf numFmtId="1" fontId="49" fillId="0" borderId="10" xfId="39" applyNumberFormat="1" applyFont="1" applyFill="1" applyBorder="1" applyAlignment="1">
      <alignment horizontal="right" vertical="top" wrapText="1"/>
    </xf>
    <xf numFmtId="1" fontId="52" fillId="26" borderId="10" xfId="39" applyNumberFormat="1" applyFont="1" applyFill="1" applyBorder="1" applyAlignment="1">
      <alignment wrapText="1"/>
    </xf>
    <xf numFmtId="1" fontId="53" fillId="26" borderId="10" xfId="40" applyNumberFormat="1" applyFont="1" applyFill="1" applyBorder="1" applyAlignment="1">
      <alignment horizontal="right"/>
    </xf>
    <xf numFmtId="0" fontId="52" fillId="0" borderId="0" xfId="39" applyFont="1" applyFill="1" applyBorder="1" applyAlignment="1">
      <alignment horizontal="left" wrapText="1"/>
    </xf>
    <xf numFmtId="0" fontId="52" fillId="0" borderId="0" xfId="39" applyFont="1" applyFill="1" applyBorder="1" applyAlignment="1">
      <alignment horizontal="center" wrapText="1"/>
    </xf>
    <xf numFmtId="164" fontId="50" fillId="0" borderId="0" xfId="39" applyNumberFormat="1" applyFont="1" applyFill="1" applyBorder="1" applyAlignment="1">
      <alignment horizontal="center" wrapText="1"/>
    </xf>
    <xf numFmtId="14" fontId="49" fillId="0" borderId="0" xfId="39" applyNumberFormat="1" applyFont="1" applyFill="1" applyBorder="1" applyAlignment="1">
      <alignment horizontal="right" wrapText="1"/>
    </xf>
    <xf numFmtId="0" fontId="50" fillId="27" borderId="10" xfId="39" applyFont="1" applyFill="1" applyBorder="1" applyAlignment="1">
      <alignment wrapText="1"/>
    </xf>
    <xf numFmtId="2" fontId="52" fillId="27" borderId="10" xfId="39" applyNumberFormat="1" applyFont="1" applyFill="1" applyBorder="1" applyAlignment="1">
      <alignment wrapText="1"/>
    </xf>
    <xf numFmtId="0" fontId="27" fillId="26" borderId="10" xfId="39" applyFont="1" applyFill="1" applyBorder="1" applyAlignment="1">
      <alignment horizontal="center" vertical="top" wrapText="1"/>
    </xf>
    <xf numFmtId="1" fontId="14" fillId="26" borderId="10" xfId="39" applyNumberFormat="1" applyFont="1" applyFill="1" applyBorder="1" applyAlignment="1">
      <alignment wrapText="1"/>
    </xf>
    <xf numFmtId="1" fontId="12" fillId="26" borderId="10" xfId="39" applyNumberFormat="1" applyFont="1" applyFill="1" applyBorder="1" applyAlignment="1">
      <alignment wrapText="1"/>
    </xf>
    <xf numFmtId="0" fontId="27" fillId="27" borderId="10" xfId="39" applyFont="1" applyFill="1" applyBorder="1" applyAlignment="1">
      <alignment horizontal="center" vertical="top" wrapText="1"/>
    </xf>
    <xf numFmtId="1" fontId="14" fillId="27" borderId="10" xfId="39" applyNumberFormat="1" applyFont="1" applyFill="1" applyBorder="1" applyAlignment="1">
      <alignment wrapText="1"/>
    </xf>
    <xf numFmtId="1" fontId="12" fillId="27" borderId="10" xfId="39" applyNumberFormat="1" applyFont="1" applyFill="1" applyBorder="1" applyAlignment="1">
      <alignment wrapText="1"/>
    </xf>
    <xf numFmtId="2" fontId="12" fillId="26" borderId="10" xfId="39" applyNumberFormat="1" applyFont="1" applyFill="1" applyBorder="1" applyAlignment="1">
      <alignment wrapText="1"/>
    </xf>
    <xf numFmtId="2" fontId="14" fillId="26" borderId="10" xfId="39" applyNumberFormat="1" applyFont="1" applyFill="1" applyBorder="1" applyAlignment="1">
      <alignment wrapText="1"/>
    </xf>
    <xf numFmtId="0" fontId="12" fillId="27" borderId="10" xfId="39" applyFont="1" applyFill="1" applyBorder="1" applyAlignment="1">
      <alignment horizontal="center" wrapText="1"/>
    </xf>
    <xf numFmtId="0" fontId="14" fillId="27" borderId="10" xfId="39" applyFont="1" applyFill="1" applyBorder="1" applyAlignment="1">
      <alignment wrapText="1"/>
    </xf>
    <xf numFmtId="2" fontId="12" fillId="27" borderId="10" xfId="39" applyNumberFormat="1" applyFont="1" applyFill="1" applyBorder="1" applyAlignment="1">
      <alignment wrapText="1"/>
    </xf>
    <xf numFmtId="0" fontId="62" fillId="0" borderId="0" xfId="39" applyFont="1" applyFill="1" applyBorder="1" applyAlignment="1">
      <alignment wrapText="1"/>
    </xf>
    <xf numFmtId="0" fontId="12" fillId="0" borderId="16" xfId="39" applyFont="1" applyFill="1" applyBorder="1" applyAlignment="1">
      <alignment horizontal="center" wrapText="1"/>
    </xf>
    <xf numFmtId="0" fontId="14" fillId="0" borderId="0" xfId="39" applyFont="1" applyFill="1" applyBorder="1" applyAlignment="1">
      <alignment horizontal="center" vertical="top" wrapText="1"/>
    </xf>
    <xf numFmtId="165" fontId="27" fillId="0" borderId="10" xfId="39" applyNumberFormat="1" applyFont="1" applyFill="1" applyBorder="1" applyAlignment="1">
      <alignment horizontal="center" vertical="top" wrapText="1"/>
    </xf>
    <xf numFmtId="1" fontId="27" fillId="0" borderId="10" xfId="39" applyNumberFormat="1" applyFont="1" applyFill="1" applyBorder="1" applyAlignment="1">
      <alignment horizontal="right" vertical="top" wrapText="1"/>
    </xf>
    <xf numFmtId="1" fontId="14" fillId="0" borderId="0" xfId="39" applyNumberFormat="1" applyFont="1" applyFill="1" applyBorder="1" applyAlignment="1">
      <alignment wrapText="1"/>
    </xf>
    <xf numFmtId="0" fontId="57" fillId="0" borderId="0" xfId="39" applyFont="1" applyFill="1" applyBorder="1" applyAlignment="1">
      <alignment horizontal="center" vertical="top" wrapText="1"/>
    </xf>
    <xf numFmtId="165" fontId="12" fillId="26" borderId="10" xfId="39" applyNumberFormat="1" applyFont="1" applyFill="1" applyBorder="1" applyAlignment="1">
      <alignment horizontal="center" vertical="top" wrapText="1"/>
    </xf>
    <xf numFmtId="0" fontId="12" fillId="26" borderId="10" xfId="39" applyFont="1" applyFill="1" applyBorder="1" applyAlignment="1">
      <alignment horizontal="center" vertical="top" wrapText="1"/>
    </xf>
    <xf numFmtId="0" fontId="12" fillId="26" borderId="10" xfId="40" applyFont="1" applyFill="1" applyBorder="1"/>
    <xf numFmtId="2" fontId="12" fillId="26" borderId="10" xfId="40" applyNumberFormat="1" applyFont="1" applyFill="1" applyBorder="1" applyAlignment="1">
      <alignment horizontal="right"/>
    </xf>
    <xf numFmtId="2" fontId="14" fillId="26" borderId="10" xfId="40" applyNumberFormat="1" applyFont="1" applyFill="1" applyBorder="1" applyAlignment="1">
      <alignment horizontal="right"/>
    </xf>
    <xf numFmtId="165" fontId="12" fillId="27" borderId="10" xfId="39" applyNumberFormat="1" applyFont="1" applyFill="1" applyBorder="1" applyAlignment="1">
      <alignment horizontal="center" vertical="top" wrapText="1"/>
    </xf>
    <xf numFmtId="0" fontId="12" fillId="27" borderId="10" xfId="39" applyFont="1" applyFill="1" applyBorder="1" applyAlignment="1">
      <alignment horizontal="center" vertical="top" wrapText="1"/>
    </xf>
    <xf numFmtId="0" fontId="12" fillId="27" borderId="10" xfId="40" applyFont="1" applyFill="1" applyBorder="1"/>
    <xf numFmtId="2" fontId="12" fillId="27" borderId="10" xfId="40" applyNumberFormat="1" applyFont="1" applyFill="1" applyBorder="1" applyAlignment="1">
      <alignment horizontal="right"/>
    </xf>
    <xf numFmtId="0" fontId="14" fillId="27" borderId="0" xfId="39" applyFont="1" applyFill="1" applyBorder="1" applyAlignment="1">
      <alignment wrapText="1"/>
    </xf>
    <xf numFmtId="0" fontId="12" fillId="0" borderId="17" xfId="39" applyFont="1" applyFill="1" applyBorder="1" applyAlignment="1">
      <alignment horizontal="center" wrapText="1"/>
    </xf>
    <xf numFmtId="0" fontId="14" fillId="0" borderId="0" xfId="39" applyFont="1" applyFill="1" applyBorder="1" applyAlignment="1">
      <alignment vertical="top" wrapText="1"/>
    </xf>
    <xf numFmtId="0" fontId="25" fillId="0" borderId="10" xfId="39" applyFont="1" applyFill="1" applyBorder="1" applyAlignment="1">
      <alignment wrapText="1"/>
    </xf>
    <xf numFmtId="2" fontId="14" fillId="27" borderId="10" xfId="39" applyNumberFormat="1" applyFont="1" applyFill="1" applyBorder="1" applyAlignment="1">
      <alignment wrapText="1"/>
    </xf>
    <xf numFmtId="0" fontId="59" fillId="0" borderId="0" xfId="39" applyFont="1" applyFill="1" applyBorder="1" applyAlignment="1">
      <alignment horizontal="center" wrapText="1"/>
    </xf>
    <xf numFmtId="0" fontId="56" fillId="0" borderId="10" xfId="39" applyFont="1" applyFill="1" applyBorder="1" applyAlignment="1">
      <alignment horizontal="center"/>
    </xf>
    <xf numFmtId="0" fontId="58" fillId="0" borderId="10" xfId="39" applyFont="1" applyFill="1" applyBorder="1" applyAlignment="1">
      <alignment horizontal="center"/>
    </xf>
    <xf numFmtId="1" fontId="5" fillId="0" borderId="10" xfId="39" applyNumberFormat="1" applyFont="1" applyBorder="1"/>
    <xf numFmtId="1" fontId="0" fillId="0" borderId="0" xfId="0" applyNumberFormat="1" applyFont="1" applyFill="1"/>
    <xf numFmtId="0" fontId="0" fillId="0" borderId="0" xfId="0" applyFont="1" applyFill="1"/>
    <xf numFmtId="0" fontId="6" fillId="0" borderId="18" xfId="0" applyFont="1" applyFill="1" applyBorder="1"/>
    <xf numFmtId="1" fontId="6" fillId="0" borderId="10" xfId="0" applyNumberFormat="1" applyFont="1" applyBorder="1" applyAlignment="1">
      <alignment horizontal="right"/>
    </xf>
    <xf numFmtId="2" fontId="6" fillId="0" borderId="0" xfId="0" applyNumberFormat="1" applyFont="1" applyFill="1"/>
    <xf numFmtId="14" fontId="5" fillId="25" borderId="12" xfId="0" applyNumberFormat="1" applyFont="1" applyFill="1" applyBorder="1" applyAlignment="1">
      <alignment horizontal="center" vertical="top"/>
    </xf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/>
    <xf numFmtId="14" fontId="25" fillId="25" borderId="12" xfId="0" applyNumberFormat="1" applyFont="1" applyFill="1" applyBorder="1" applyAlignment="1">
      <alignment horizontal="center" vertical="top" wrapText="1"/>
    </xf>
    <xf numFmtId="14" fontId="66" fillId="0" borderId="0" xfId="44" applyNumberFormat="1" applyFont="1" applyFill="1" applyAlignment="1">
      <alignment horizontal="center"/>
    </xf>
    <xf numFmtId="0" fontId="71" fillId="0" borderId="10" xfId="44" applyFont="1" applyFill="1" applyBorder="1" applyAlignment="1">
      <alignment vertical="top"/>
    </xf>
    <xf numFmtId="0" fontId="73" fillId="0" borderId="10" xfId="44" applyFont="1" applyFill="1" applyBorder="1" applyAlignment="1">
      <alignment vertical="top"/>
    </xf>
    <xf numFmtId="0" fontId="75" fillId="0" borderId="10" xfId="44" applyFont="1" applyFill="1" applyBorder="1" applyAlignment="1">
      <alignment vertical="top"/>
    </xf>
    <xf numFmtId="0" fontId="75" fillId="0" borderId="14" xfId="44" applyFont="1" applyFill="1" applyBorder="1" applyAlignment="1">
      <alignment vertical="top"/>
    </xf>
    <xf numFmtId="0" fontId="75" fillId="0" borderId="10" xfId="44" applyFont="1" applyFill="1" applyBorder="1"/>
    <xf numFmtId="0" fontId="18" fillId="0" borderId="19" xfId="44" applyFont="1" applyFill="1" applyBorder="1" applyAlignment="1">
      <alignment vertical="center" textRotation="90" wrapText="1"/>
    </xf>
    <xf numFmtId="1" fontId="75" fillId="0" borderId="12" xfId="44" applyNumberFormat="1" applyFont="1" applyFill="1" applyBorder="1" applyAlignment="1">
      <alignment vertical="top"/>
    </xf>
    <xf numFmtId="1" fontId="75" fillId="0" borderId="20" xfId="44" applyNumberFormat="1" applyFont="1" applyFill="1" applyBorder="1" applyAlignment="1">
      <alignment vertical="top"/>
    </xf>
    <xf numFmtId="0" fontId="71" fillId="0" borderId="15" xfId="44" applyFont="1" applyFill="1" applyBorder="1" applyAlignment="1">
      <alignment vertical="top"/>
    </xf>
    <xf numFmtId="0" fontId="73" fillId="0" borderId="15" xfId="44" applyFont="1" applyFill="1" applyBorder="1" applyAlignment="1">
      <alignment vertical="top"/>
    </xf>
    <xf numFmtId="0" fontId="16" fillId="0" borderId="21" xfId="44" applyFont="1" applyFill="1" applyBorder="1"/>
    <xf numFmtId="0" fontId="18" fillId="0" borderId="21" xfId="44" applyFont="1" applyFill="1" applyBorder="1"/>
    <xf numFmtId="0" fontId="16" fillId="0" borderId="0" xfId="44" applyFont="1" applyFill="1" applyAlignment="1">
      <alignment horizontal="center" vertical="top"/>
    </xf>
    <xf numFmtId="39" fontId="6" fillId="0" borderId="0" xfId="42" applyFont="1" applyFill="1"/>
    <xf numFmtId="14" fontId="67" fillId="0" borderId="0" xfId="42" applyNumberFormat="1" applyFont="1" applyFill="1"/>
    <xf numFmtId="0" fontId="16" fillId="0" borderId="0" xfId="44" applyFont="1" applyFill="1"/>
    <xf numFmtId="0" fontId="18" fillId="0" borderId="0" xfId="44" applyFont="1" applyFill="1" applyBorder="1" applyAlignment="1">
      <alignment horizontal="center" vertical="top"/>
    </xf>
    <xf numFmtId="0" fontId="68" fillId="0" borderId="0" xfId="44" applyFont="1" applyFill="1" applyBorder="1" applyAlignment="1">
      <alignment horizontal="center"/>
    </xf>
    <xf numFmtId="14" fontId="69" fillId="0" borderId="0" xfId="44" applyNumberFormat="1" applyFont="1" applyFill="1" applyBorder="1" applyAlignment="1">
      <alignment horizontal="center"/>
    </xf>
    <xf numFmtId="0" fontId="70" fillId="0" borderId="22" xfId="44" applyFont="1" applyFill="1" applyBorder="1" applyAlignment="1">
      <alignment horizontal="center" vertical="top"/>
    </xf>
    <xf numFmtId="0" fontId="70" fillId="0" borderId="0" xfId="44" applyFont="1" applyFill="1" applyAlignment="1">
      <alignment horizontal="center" vertical="top"/>
    </xf>
    <xf numFmtId="0" fontId="69" fillId="0" borderId="21" xfId="44" applyFont="1" applyFill="1" applyBorder="1" applyAlignment="1">
      <alignment horizontal="center" vertical="top"/>
    </xf>
    <xf numFmtId="0" fontId="69" fillId="0" borderId="0" xfId="44" applyFont="1" applyFill="1" applyAlignment="1">
      <alignment horizontal="center" vertical="top"/>
    </xf>
    <xf numFmtId="0" fontId="18" fillId="0" borderId="23" xfId="44" applyFont="1" applyFill="1" applyBorder="1" applyAlignment="1">
      <alignment vertical="top"/>
    </xf>
    <xf numFmtId="0" fontId="18" fillId="0" borderId="10" xfId="44" applyFont="1" applyFill="1" applyBorder="1" applyAlignment="1">
      <alignment vertical="top" wrapText="1"/>
    </xf>
    <xf numFmtId="0" fontId="18" fillId="0" borderId="0" xfId="44" applyFont="1" applyFill="1"/>
    <xf numFmtId="0" fontId="71" fillId="0" borderId="14" xfId="44" applyFont="1" applyFill="1" applyBorder="1" applyAlignment="1">
      <alignment vertical="top"/>
    </xf>
    <xf numFmtId="0" fontId="72" fillId="0" borderId="23" xfId="44" applyFont="1" applyFill="1" applyBorder="1" applyAlignment="1">
      <alignment vertical="top"/>
    </xf>
    <xf numFmtId="0" fontId="72" fillId="0" borderId="10" xfId="44" applyFont="1" applyFill="1" applyBorder="1" applyAlignment="1">
      <alignment vertical="top" wrapText="1"/>
    </xf>
    <xf numFmtId="0" fontId="73" fillId="0" borderId="14" xfId="44" applyFont="1" applyFill="1" applyBorder="1" applyAlignment="1">
      <alignment vertical="top"/>
    </xf>
    <xf numFmtId="0" fontId="73" fillId="0" borderId="10" xfId="44" applyFont="1" applyFill="1" applyBorder="1"/>
    <xf numFmtId="0" fontId="72" fillId="0" borderId="0" xfId="44" applyFont="1" applyFill="1"/>
    <xf numFmtId="0" fontId="16" fillId="0" borderId="23" xfId="44" applyFont="1" applyFill="1" applyBorder="1" applyAlignment="1">
      <alignment vertical="top"/>
    </xf>
    <xf numFmtId="0" fontId="74" fillId="0" borderId="10" xfId="44" applyFont="1" applyFill="1" applyBorder="1" applyAlignment="1">
      <alignment vertical="top" wrapText="1"/>
    </xf>
    <xf numFmtId="0" fontId="16" fillId="0" borderId="10" xfId="44" applyFont="1" applyFill="1" applyBorder="1" applyAlignment="1">
      <alignment vertical="top" wrapText="1"/>
    </xf>
    <xf numFmtId="1" fontId="75" fillId="0" borderId="10" xfId="44" applyNumberFormat="1" applyFont="1" applyFill="1" applyBorder="1" applyAlignment="1">
      <alignment vertical="top"/>
    </xf>
    <xf numFmtId="1" fontId="75" fillId="0" borderId="10" xfId="44" applyNumberFormat="1" applyFont="1" applyFill="1" applyBorder="1"/>
    <xf numFmtId="0" fontId="16" fillId="0" borderId="24" xfId="44" applyFont="1" applyFill="1" applyBorder="1" applyAlignment="1">
      <alignment vertical="top"/>
    </xf>
    <xf numFmtId="0" fontId="16" fillId="0" borderId="12" xfId="44" applyFont="1" applyFill="1" applyBorder="1" applyAlignment="1">
      <alignment vertical="top" wrapText="1"/>
    </xf>
    <xf numFmtId="0" fontId="75" fillId="0" borderId="12" xfId="44" applyFont="1" applyFill="1" applyBorder="1" applyAlignment="1">
      <alignment vertical="top"/>
    </xf>
    <xf numFmtId="0" fontId="75" fillId="0" borderId="0" xfId="44" applyFont="1" applyFill="1" applyBorder="1"/>
    <xf numFmtId="0" fontId="71" fillId="0" borderId="10" xfId="44" applyFont="1" applyFill="1" applyBorder="1"/>
    <xf numFmtId="0" fontId="16" fillId="0" borderId="23" xfId="44" applyFont="1" applyFill="1" applyBorder="1" applyAlignment="1">
      <alignment horizontal="center" vertical="top"/>
    </xf>
    <xf numFmtId="0" fontId="16" fillId="0" borderId="10" xfId="44" applyFont="1" applyFill="1" applyBorder="1"/>
    <xf numFmtId="0" fontId="18" fillId="0" borderId="23" xfId="44" applyFont="1" applyFill="1" applyBorder="1" applyAlignment="1">
      <alignment horizontal="center" vertical="top"/>
    </xf>
    <xf numFmtId="0" fontId="18" fillId="0" borderId="10" xfId="44" applyFont="1" applyFill="1" applyBorder="1"/>
    <xf numFmtId="0" fontId="16" fillId="0" borderId="25" xfId="44" applyFont="1" applyFill="1" applyBorder="1" applyAlignment="1">
      <alignment horizontal="center" vertical="top"/>
    </xf>
    <xf numFmtId="0" fontId="74" fillId="0" borderId="26" xfId="44" applyFont="1" applyFill="1" applyBorder="1"/>
    <xf numFmtId="0" fontId="16" fillId="0" borderId="26" xfId="44" applyFont="1" applyFill="1" applyBorder="1"/>
    <xf numFmtId="0" fontId="16" fillId="0" borderId="27" xfId="44" applyFont="1" applyFill="1" applyBorder="1"/>
    <xf numFmtId="0" fontId="79" fillId="0" borderId="0" xfId="41" applyFont="1" applyFill="1" applyBorder="1" applyAlignment="1">
      <alignment vertical="center" wrapText="1"/>
    </xf>
    <xf numFmtId="0" fontId="18" fillId="0" borderId="0" xfId="39" applyFont="1" applyFill="1" applyBorder="1" applyAlignment="1">
      <alignment horizontal="left" wrapText="1"/>
    </xf>
    <xf numFmtId="0" fontId="16" fillId="0" borderId="0" xfId="39" applyFont="1" applyFill="1" applyBorder="1" applyAlignment="1">
      <alignment wrapText="1"/>
    </xf>
    <xf numFmtId="0" fontId="77" fillId="0" borderId="0" xfId="41" applyFont="1" applyFill="1" applyAlignment="1">
      <alignment horizontal="center" vertical="center"/>
    </xf>
    <xf numFmtId="0" fontId="11" fillId="0" borderId="10" xfId="41" applyFont="1" applyFill="1" applyBorder="1" applyAlignment="1">
      <alignment horizontal="center" vertical="center"/>
    </xf>
    <xf numFmtId="0" fontId="11" fillId="0" borderId="10" xfId="41" applyFont="1" applyFill="1" applyBorder="1" applyAlignment="1">
      <alignment vertical="center"/>
    </xf>
    <xf numFmtId="0" fontId="6" fillId="0" borderId="0" xfId="41" applyFont="1" applyFill="1" applyAlignment="1">
      <alignment wrapText="1"/>
    </xf>
    <xf numFmtId="0" fontId="6" fillId="0" borderId="0" xfId="41" applyFont="1" applyFill="1" applyAlignment="1">
      <alignment vertical="center" wrapText="1"/>
    </xf>
    <xf numFmtId="0" fontId="10" fillId="0" borderId="0" xfId="41" applyFont="1" applyFill="1"/>
    <xf numFmtId="0" fontId="10" fillId="0" borderId="0" xfId="41" applyFont="1" applyFill="1" applyAlignment="1">
      <alignment vertical="center"/>
    </xf>
    <xf numFmtId="0" fontId="78" fillId="0" borderId="0" xfId="41" applyFont="1" applyFill="1" applyAlignment="1">
      <alignment vertical="center"/>
    </xf>
    <xf numFmtId="0" fontId="11" fillId="0" borderId="10" xfId="41" quotePrefix="1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center" vertical="center" wrapText="1"/>
    </xf>
    <xf numFmtId="0" fontId="10" fillId="0" borderId="0" xfId="41" applyFont="1" applyFill="1" applyAlignment="1">
      <alignment horizontal="center"/>
    </xf>
    <xf numFmtId="0" fontId="11" fillId="0" borderId="10" xfId="41" quotePrefix="1" applyFont="1" applyFill="1" applyBorder="1" applyAlignment="1">
      <alignment horizontal="center" vertical="center"/>
    </xf>
    <xf numFmtId="0" fontId="11" fillId="0" borderId="0" xfId="41" applyFont="1" applyFill="1"/>
    <xf numFmtId="0" fontId="11" fillId="0" borderId="10" xfId="41" quotePrefix="1" applyFont="1" applyFill="1" applyBorder="1" applyAlignment="1">
      <alignment horizontal="right" vertical="center"/>
    </xf>
    <xf numFmtId="0" fontId="80" fillId="0" borderId="0" xfId="41" applyFont="1" applyFill="1" applyBorder="1" applyAlignment="1">
      <alignment vertical="center" wrapText="1"/>
    </xf>
    <xf numFmtId="0" fontId="80" fillId="0" borderId="0" xfId="41" applyFont="1" applyFill="1" applyAlignment="1">
      <alignment vertical="center"/>
    </xf>
    <xf numFmtId="0" fontId="10" fillId="0" borderId="0" xfId="41" applyFont="1" applyFill="1" applyAlignment="1">
      <alignment wrapText="1"/>
    </xf>
    <xf numFmtId="0" fontId="69" fillId="0" borderId="0" xfId="39" applyFont="1" applyFill="1" applyBorder="1" applyAlignment="1">
      <alignment horizontal="left" wrapText="1"/>
    </xf>
    <xf numFmtId="0" fontId="69" fillId="0" borderId="0" xfId="39" applyFont="1" applyFill="1" applyBorder="1" applyAlignment="1">
      <alignment horizontal="center" wrapText="1"/>
    </xf>
    <xf numFmtId="0" fontId="70" fillId="0" borderId="0" xfId="39" applyFont="1" applyFill="1" applyBorder="1" applyAlignment="1">
      <alignment wrapText="1"/>
    </xf>
    <xf numFmtId="164" fontId="70" fillId="0" borderId="0" xfId="39" applyNumberFormat="1" applyFont="1" applyFill="1" applyBorder="1" applyAlignment="1">
      <alignment wrapText="1"/>
    </xf>
    <xf numFmtId="0" fontId="10" fillId="0" borderId="0" xfId="41" applyFont="1" applyFill="1" applyAlignment="1">
      <alignment vertical="center" wrapText="1"/>
    </xf>
    <xf numFmtId="0" fontId="78" fillId="0" borderId="0" xfId="41" applyFont="1" applyFill="1"/>
    <xf numFmtId="0" fontId="10" fillId="0" borderId="10" xfId="41" applyFont="1" applyFill="1" applyBorder="1"/>
    <xf numFmtId="0" fontId="11" fillId="27" borderId="10" xfId="41" applyFont="1" applyFill="1" applyBorder="1" applyAlignment="1">
      <alignment horizontal="center" vertical="center"/>
    </xf>
    <xf numFmtId="0" fontId="11" fillId="27" borderId="10" xfId="41" applyFont="1" applyFill="1" applyBorder="1" applyAlignment="1">
      <alignment horizontal="center" vertical="center" wrapText="1"/>
    </xf>
    <xf numFmtId="0" fontId="10" fillId="27" borderId="10" xfId="41" applyFont="1" applyFill="1" applyBorder="1"/>
    <xf numFmtId="0" fontId="11" fillId="26" borderId="10" xfId="41" applyFont="1" applyFill="1" applyBorder="1" applyAlignment="1">
      <alignment horizontal="center" vertical="center"/>
    </xf>
    <xf numFmtId="0" fontId="11" fillId="26" borderId="10" xfId="41" applyFont="1" applyFill="1" applyBorder="1" applyAlignment="1">
      <alignment horizontal="center" vertical="center" wrapText="1"/>
    </xf>
    <xf numFmtId="0" fontId="11" fillId="30" borderId="10" xfId="41" applyFont="1" applyFill="1" applyBorder="1" applyAlignment="1">
      <alignment horizontal="center" vertical="center" wrapText="1"/>
    </xf>
    <xf numFmtId="2" fontId="10" fillId="0" borderId="10" xfId="43" applyNumberFormat="1" applyFont="1" applyFill="1" applyBorder="1" applyAlignment="1" applyProtection="1">
      <alignment horizontal="right" vertical="top"/>
    </xf>
    <xf numFmtId="2" fontId="11" fillId="30" borderId="10" xfId="43" applyNumberFormat="1" applyFont="1" applyFill="1" applyBorder="1" applyAlignment="1" applyProtection="1">
      <alignment horizontal="right" vertical="top"/>
    </xf>
    <xf numFmtId="2" fontId="11" fillId="0" borderId="10" xfId="43" applyNumberFormat="1" applyFont="1" applyFill="1" applyBorder="1" applyAlignment="1" applyProtection="1">
      <alignment horizontal="right" vertical="top"/>
    </xf>
    <xf numFmtId="2" fontId="11" fillId="26" borderId="10" xfId="43" applyNumberFormat="1" applyFont="1" applyFill="1" applyBorder="1" applyAlignment="1" applyProtection="1">
      <alignment horizontal="right" vertical="top"/>
    </xf>
    <xf numFmtId="2" fontId="11" fillId="27" borderId="10" xfId="43" applyNumberFormat="1" applyFont="1" applyFill="1" applyBorder="1" applyAlignment="1" applyProtection="1">
      <alignment horizontal="right" vertical="top"/>
    </xf>
    <xf numFmtId="2" fontId="11" fillId="30" borderId="10" xfId="41" applyNumberFormat="1" applyFont="1" applyFill="1" applyBorder="1" applyAlignment="1">
      <alignment horizontal="right" vertical="top" wrapText="1"/>
    </xf>
    <xf numFmtId="2" fontId="78" fillId="0" borderId="10" xfId="41" applyNumberFormat="1" applyFont="1" applyFill="1" applyBorder="1" applyAlignment="1">
      <alignment horizontal="right" vertical="top"/>
    </xf>
    <xf numFmtId="2" fontId="10" fillId="26" borderId="10" xfId="41" applyNumberFormat="1" applyFont="1" applyFill="1" applyBorder="1" applyAlignment="1">
      <alignment horizontal="right" vertical="top"/>
    </xf>
    <xf numFmtId="2" fontId="10" fillId="0" borderId="10" xfId="41" applyNumberFormat="1" applyFont="1" applyFill="1" applyBorder="1" applyAlignment="1">
      <alignment horizontal="right" vertical="top"/>
    </xf>
    <xf numFmtId="2" fontId="10" fillId="27" borderId="10" xfId="41" applyNumberFormat="1" applyFont="1" applyFill="1" applyBorder="1" applyAlignment="1">
      <alignment horizontal="right" vertical="top"/>
    </xf>
    <xf numFmtId="2" fontId="81" fillId="0" borderId="10" xfId="41" applyNumberFormat="1" applyFont="1" applyFill="1" applyBorder="1" applyAlignment="1">
      <alignment horizontal="right" vertical="top"/>
    </xf>
    <xf numFmtId="2" fontId="11" fillId="0" borderId="10" xfId="41" applyNumberFormat="1" applyFont="1" applyFill="1" applyBorder="1" applyAlignment="1">
      <alignment horizontal="right" vertical="top" wrapText="1"/>
    </xf>
    <xf numFmtId="2" fontId="11" fillId="26" borderId="10" xfId="41" applyNumberFormat="1" applyFont="1" applyFill="1" applyBorder="1" applyAlignment="1">
      <alignment horizontal="right" vertical="top" wrapText="1"/>
    </xf>
    <xf numFmtId="2" fontId="11" fillId="27" borderId="10" xfId="41" applyNumberFormat="1" applyFont="1" applyFill="1" applyBorder="1" applyAlignment="1">
      <alignment horizontal="right" vertical="top" wrapText="1"/>
    </xf>
    <xf numFmtId="0" fontId="11" fillId="0" borderId="10" xfId="41" applyFont="1" applyFill="1" applyBorder="1" applyAlignment="1">
      <alignment horizontal="right" vertical="top" wrapText="1"/>
    </xf>
    <xf numFmtId="0" fontId="11" fillId="26" borderId="10" xfId="41" applyFont="1" applyFill="1" applyBorder="1" applyAlignment="1">
      <alignment horizontal="right" vertical="top" wrapText="1"/>
    </xf>
    <xf numFmtId="0" fontId="11" fillId="27" borderId="10" xfId="41" applyFont="1" applyFill="1" applyBorder="1" applyAlignment="1">
      <alignment horizontal="right" vertical="top" wrapText="1"/>
    </xf>
    <xf numFmtId="2" fontId="77" fillId="0" borderId="10" xfId="41" applyNumberFormat="1" applyFont="1" applyFill="1" applyBorder="1" applyAlignment="1">
      <alignment horizontal="right" vertical="top"/>
    </xf>
    <xf numFmtId="0" fontId="5" fillId="0" borderId="10" xfId="41" applyFont="1" applyFill="1" applyBorder="1" applyAlignment="1">
      <alignment horizontal="left" vertical="top" wrapText="1"/>
    </xf>
    <xf numFmtId="0" fontId="82" fillId="0" borderId="0" xfId="41" applyFont="1" applyFill="1" applyAlignment="1">
      <alignment vertical="center"/>
    </xf>
    <xf numFmtId="0" fontId="26" fillId="0" borderId="10" xfId="41" applyFont="1" applyFill="1" applyBorder="1" applyAlignment="1">
      <alignment horizontal="center" vertical="center" wrapText="1"/>
    </xf>
    <xf numFmtId="2" fontId="82" fillId="0" borderId="10" xfId="41" applyNumberFormat="1" applyFont="1" applyFill="1" applyBorder="1" applyAlignment="1">
      <alignment horizontal="right" vertical="top"/>
    </xf>
    <xf numFmtId="2" fontId="26" fillId="0" borderId="10" xfId="41" applyNumberFormat="1" applyFont="1" applyFill="1" applyBorder="1" applyAlignment="1">
      <alignment horizontal="right" vertical="top" wrapText="1"/>
    </xf>
    <xf numFmtId="0" fontId="26" fillId="0" borderId="10" xfId="41" applyFont="1" applyFill="1" applyBorder="1" applyAlignment="1">
      <alignment horizontal="right" vertical="top" wrapText="1"/>
    </xf>
    <xf numFmtId="2" fontId="26" fillId="0" borderId="10" xfId="43" applyNumberFormat="1" applyFont="1" applyFill="1" applyBorder="1" applyAlignment="1" applyProtection="1">
      <alignment horizontal="right" vertical="top"/>
    </xf>
    <xf numFmtId="0" fontId="82" fillId="0" borderId="0" xfId="41" applyFont="1" applyFill="1"/>
    <xf numFmtId="0" fontId="77" fillId="0" borderId="28" xfId="41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</xf>
    <xf numFmtId="0" fontId="6" fillId="0" borderId="0" xfId="41" applyFont="1" applyFill="1" applyAlignment="1">
      <alignment horizontal="center"/>
    </xf>
    <xf numFmtId="0" fontId="5" fillId="31" borderId="10" xfId="41" applyFont="1" applyFill="1" applyBorder="1" applyAlignment="1">
      <alignment horizontal="center" vertical="center" wrapText="1"/>
    </xf>
    <xf numFmtId="2" fontId="11" fillId="31" borderId="10" xfId="41" applyNumberFormat="1" applyFont="1" applyFill="1" applyBorder="1" applyAlignment="1">
      <alignment horizontal="right" vertical="top"/>
    </xf>
    <xf numFmtId="0" fontId="10" fillId="31" borderId="10" xfId="41" applyFont="1" applyFill="1" applyBorder="1"/>
    <xf numFmtId="1" fontId="5" fillId="0" borderId="10" xfId="41" applyNumberFormat="1" applyFont="1" applyFill="1" applyBorder="1" applyAlignment="1">
      <alignment horizontal="left" vertical="top" wrapText="1"/>
    </xf>
    <xf numFmtId="1" fontId="10" fillId="0" borderId="10" xfId="43" applyNumberFormat="1" applyFont="1" applyFill="1" applyBorder="1" applyAlignment="1" applyProtection="1">
      <alignment horizontal="right" vertical="top"/>
    </xf>
    <xf numFmtId="1" fontId="10" fillId="0" borderId="10" xfId="41" applyNumberFormat="1" applyFont="1" applyFill="1" applyBorder="1" applyAlignment="1">
      <alignment horizontal="right" vertical="top"/>
    </xf>
    <xf numFmtId="1" fontId="11" fillId="0" borderId="10" xfId="41" applyNumberFormat="1" applyFont="1" applyFill="1" applyBorder="1" applyAlignment="1">
      <alignment horizontal="right" vertical="top" wrapText="1"/>
    </xf>
    <xf numFmtId="1" fontId="11" fillId="0" borderId="10" xfId="43" applyNumberFormat="1" applyFont="1" applyFill="1" applyBorder="1" applyAlignment="1" applyProtection="1">
      <alignment horizontal="right" vertical="top"/>
    </xf>
    <xf numFmtId="0" fontId="83" fillId="0" borderId="0" xfId="41" applyFont="1" applyFill="1"/>
    <xf numFmtId="0" fontId="49" fillId="29" borderId="11" xfId="39" applyFont="1" applyFill="1" applyBorder="1" applyAlignment="1">
      <alignment horizontal="center" vertical="top" wrapText="1"/>
    </xf>
    <xf numFmtId="0" fontId="49" fillId="29" borderId="12" xfId="39" applyFont="1" applyFill="1" applyBorder="1" applyAlignment="1">
      <alignment horizontal="center" vertical="top" wrapText="1"/>
    </xf>
    <xf numFmtId="0" fontId="25" fillId="0" borderId="10" xfId="39" applyFont="1" applyFill="1" applyBorder="1" applyAlignment="1">
      <alignment horizontal="center" wrapText="1"/>
    </xf>
    <xf numFmtId="0" fontId="55" fillId="0" borderId="10" xfId="39" applyFont="1" applyFill="1" applyBorder="1" applyAlignment="1">
      <alignment vertical="top" wrapText="1"/>
    </xf>
    <xf numFmtId="0" fontId="11" fillId="0" borderId="10" xfId="40" applyFont="1" applyFill="1" applyBorder="1" applyAlignment="1">
      <alignment horizontal="center" vertical="center"/>
    </xf>
    <xf numFmtId="14" fontId="5" fillId="25" borderId="10" xfId="39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right"/>
    </xf>
    <xf numFmtId="0" fontId="5" fillId="30" borderId="10" xfId="41" applyFont="1" applyFill="1" applyBorder="1" applyAlignment="1">
      <alignment horizontal="center" vertical="center" wrapText="1"/>
    </xf>
    <xf numFmtId="165" fontId="27" fillId="31" borderId="10" xfId="39" applyNumberFormat="1" applyFont="1" applyFill="1" applyBorder="1" applyAlignment="1">
      <alignment horizontal="center" vertical="top" wrapText="1"/>
    </xf>
    <xf numFmtId="0" fontId="27" fillId="31" borderId="10" xfId="39" applyFont="1" applyFill="1" applyBorder="1" applyAlignment="1">
      <alignment horizontal="center" vertical="top" wrapText="1"/>
    </xf>
    <xf numFmtId="1" fontId="14" fillId="31" borderId="10" xfId="39" applyNumberFormat="1" applyFont="1" applyFill="1" applyBorder="1" applyAlignment="1">
      <alignment wrapText="1"/>
    </xf>
    <xf numFmtId="1" fontId="12" fillId="31" borderId="10" xfId="39" applyNumberFormat="1" applyFont="1" applyFill="1" applyBorder="1" applyAlignment="1">
      <alignment wrapText="1"/>
    </xf>
    <xf numFmtId="0" fontId="27" fillId="31" borderId="15" xfId="39" applyFont="1" applyFill="1" applyBorder="1" applyAlignment="1">
      <alignment horizontal="center" vertical="top" wrapText="1"/>
    </xf>
    <xf numFmtId="0" fontId="12" fillId="32" borderId="10" xfId="39" applyFont="1" applyFill="1" applyBorder="1" applyAlignment="1">
      <alignment horizontal="center" vertical="top" wrapText="1"/>
    </xf>
    <xf numFmtId="0" fontId="27" fillId="32" borderId="10" xfId="39" applyFont="1" applyFill="1" applyBorder="1" applyAlignment="1">
      <alignment horizontal="center" vertical="top" wrapText="1"/>
    </xf>
    <xf numFmtId="0" fontId="14" fillId="32" borderId="10" xfId="39" applyFont="1" applyFill="1" applyBorder="1" applyAlignment="1">
      <alignment wrapText="1"/>
    </xf>
    <xf numFmtId="1" fontId="12" fillId="32" borderId="10" xfId="39" applyNumberFormat="1" applyFont="1" applyFill="1" applyBorder="1" applyAlignment="1">
      <alignment wrapText="1"/>
    </xf>
    <xf numFmtId="0" fontId="5" fillId="30" borderId="10" xfId="39" applyFont="1" applyFill="1" applyBorder="1" applyAlignment="1">
      <alignment horizontal="center" vertical="center" wrapText="1"/>
    </xf>
    <xf numFmtId="0" fontId="5" fillId="30" borderId="12" xfId="39" applyFont="1" applyFill="1" applyBorder="1" applyAlignment="1">
      <alignment horizontal="center" vertical="center" wrapText="1"/>
    </xf>
    <xf numFmtId="0" fontId="5" fillId="30" borderId="10" xfId="39" applyFont="1" applyFill="1" applyBorder="1" applyAlignment="1">
      <alignment vertical="center" wrapText="1"/>
    </xf>
    <xf numFmtId="2" fontId="6" fillId="30" borderId="10" xfId="39" applyNumberFormat="1" applyFont="1" applyFill="1" applyBorder="1"/>
    <xf numFmtId="0" fontId="6" fillId="30" borderId="10" xfId="39" applyFont="1" applyFill="1" applyBorder="1"/>
    <xf numFmtId="2" fontId="5" fillId="30" borderId="10" xfId="39" applyNumberFormat="1" applyFont="1" applyFill="1" applyBorder="1"/>
    <xf numFmtId="2" fontId="26" fillId="30" borderId="10" xfId="39" applyNumberFormat="1" applyFont="1" applyFill="1" applyBorder="1"/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/>
    <xf numFmtId="2" fontId="6" fillId="30" borderId="10" xfId="0" applyNumberFormat="1" applyFont="1" applyFill="1" applyBorder="1"/>
    <xf numFmtId="2" fontId="5" fillId="30" borderId="10" xfId="0" applyNumberFormat="1" applyFont="1" applyFill="1" applyBorder="1"/>
    <xf numFmtId="0" fontId="5" fillId="30" borderId="12" xfId="0" applyFont="1" applyFill="1" applyBorder="1" applyAlignment="1">
      <alignment horizontal="center" vertical="center" wrapText="1"/>
    </xf>
    <xf numFmtId="14" fontId="5" fillId="30" borderId="12" xfId="0" applyNumberFormat="1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 wrapText="1"/>
    </xf>
    <xf numFmtId="2" fontId="10" fillId="30" borderId="10" xfId="0" applyNumberFormat="1" applyFont="1" applyFill="1" applyBorder="1"/>
    <xf numFmtId="0" fontId="10" fillId="30" borderId="10" xfId="0" applyFont="1" applyFill="1" applyBorder="1"/>
    <xf numFmtId="2" fontId="6" fillId="30" borderId="10" xfId="0" applyNumberFormat="1" applyFont="1" applyFill="1" applyBorder="1" applyAlignment="1">
      <alignment horizontal="right"/>
    </xf>
    <xf numFmtId="2" fontId="5" fillId="30" borderId="10" xfId="0" applyNumberFormat="1" applyFont="1" applyFill="1" applyBorder="1" applyAlignment="1">
      <alignment horizontal="right"/>
    </xf>
    <xf numFmtId="0" fontId="12" fillId="30" borderId="10" xfId="0" applyFont="1" applyFill="1" applyBorder="1" applyAlignment="1">
      <alignment horizontal="center"/>
    </xf>
    <xf numFmtId="0" fontId="12" fillId="30" borderId="10" xfId="0" applyFont="1" applyFill="1" applyBorder="1" applyAlignment="1">
      <alignment horizontal="center" vertical="center" wrapText="1"/>
    </xf>
    <xf numFmtId="14" fontId="12" fillId="30" borderId="12" xfId="0" applyNumberFormat="1" applyFont="1" applyFill="1" applyBorder="1" applyAlignment="1">
      <alignment horizontal="center" vertical="top"/>
    </xf>
    <xf numFmtId="0" fontId="12" fillId="30" borderId="10" xfId="0" applyFont="1" applyFill="1" applyBorder="1"/>
    <xf numFmtId="1" fontId="14" fillId="30" borderId="10" xfId="0" applyNumberFormat="1" applyFont="1" applyFill="1" applyBorder="1"/>
    <xf numFmtId="1" fontId="12" fillId="30" borderId="10" xfId="0" applyNumberFormat="1" applyFont="1" applyFill="1" applyBorder="1"/>
    <xf numFmtId="0" fontId="14" fillId="30" borderId="10" xfId="0" applyFont="1" applyFill="1" applyBorder="1"/>
    <xf numFmtId="2" fontId="14" fillId="30" borderId="10" xfId="0" applyNumberFormat="1" applyFont="1" applyFill="1" applyBorder="1"/>
    <xf numFmtId="2" fontId="12" fillId="30" borderId="10" xfId="0" applyNumberFormat="1" applyFont="1" applyFill="1" applyBorder="1"/>
    <xf numFmtId="0" fontId="5" fillId="30" borderId="10" xfId="0" applyFont="1" applyFill="1" applyBorder="1" applyAlignment="1">
      <alignment horizontal="center" vertical="top" wrapText="1"/>
    </xf>
    <xf numFmtId="0" fontId="5" fillId="30" borderId="10" xfId="0" applyFont="1" applyFill="1" applyBorder="1" applyAlignment="1">
      <alignment vertical="top" wrapText="1"/>
    </xf>
    <xf numFmtId="0" fontId="6" fillId="30" borderId="10" xfId="0" applyFont="1" applyFill="1" applyBorder="1"/>
    <xf numFmtId="2" fontId="11" fillId="30" borderId="10" xfId="0" applyNumberFormat="1" applyFont="1" applyFill="1" applyBorder="1"/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/>
    </xf>
    <xf numFmtId="0" fontId="0" fillId="30" borderId="10" xfId="0" applyFill="1" applyBorder="1"/>
    <xf numFmtId="0" fontId="4" fillId="30" borderId="10" xfId="0" applyFont="1" applyFill="1" applyBorder="1"/>
    <xf numFmtId="2" fontId="16" fillId="30" borderId="10" xfId="0" applyNumberFormat="1" applyFont="1" applyFill="1" applyBorder="1"/>
    <xf numFmtId="1" fontId="6" fillId="30" borderId="10" xfId="0" applyNumberFormat="1" applyFont="1" applyFill="1" applyBorder="1"/>
    <xf numFmtId="1" fontId="5" fillId="30" borderId="10" xfId="0" applyNumberFormat="1" applyFont="1" applyFill="1" applyBorder="1"/>
    <xf numFmtId="1" fontId="10" fillId="31" borderId="10" xfId="41" applyNumberFormat="1" applyFont="1" applyFill="1" applyBorder="1" applyAlignment="1">
      <alignment horizontal="right" vertical="top"/>
    </xf>
    <xf numFmtId="1" fontId="77" fillId="31" borderId="10" xfId="41" applyNumberFormat="1" applyFont="1" applyFill="1" applyBorder="1" applyAlignment="1">
      <alignment horizontal="right" vertical="top"/>
    </xf>
    <xf numFmtId="1" fontId="10" fillId="26" borderId="10" xfId="41" applyNumberFormat="1" applyFont="1" applyFill="1" applyBorder="1" applyAlignment="1">
      <alignment horizontal="right" vertical="top"/>
    </xf>
    <xf numFmtId="0" fontId="5" fillId="0" borderId="10" xfId="41" quotePrefix="1" applyFont="1" applyFill="1" applyBorder="1" applyAlignment="1">
      <alignment horizontal="center" vertical="top"/>
    </xf>
    <xf numFmtId="2" fontId="10" fillId="30" borderId="10" xfId="41" applyNumberFormat="1" applyFont="1" applyFill="1" applyBorder="1" applyAlignment="1">
      <alignment horizontal="right" vertical="top" wrapText="1"/>
    </xf>
    <xf numFmtId="0" fontId="3" fillId="24" borderId="10" xfId="39" applyFont="1" applyFill="1" applyBorder="1" applyAlignment="1">
      <alignment horizontal="center" vertical="top"/>
    </xf>
    <xf numFmtId="0" fontId="5" fillId="0" borderId="12" xfId="39" applyFont="1" applyBorder="1" applyAlignment="1">
      <alignment horizontal="center" vertical="top" wrapText="1"/>
    </xf>
    <xf numFmtId="0" fontId="5" fillId="0" borderId="29" xfId="39" applyFont="1" applyBorder="1" applyAlignment="1">
      <alignment vertical="center" wrapText="1"/>
    </xf>
    <xf numFmtId="0" fontId="5" fillId="0" borderId="28" xfId="39" applyFont="1" applyBorder="1" applyAlignment="1">
      <alignment vertical="center" wrapText="1"/>
    </xf>
    <xf numFmtId="0" fontId="5" fillId="0" borderId="20" xfId="39" applyFont="1" applyBorder="1" applyAlignment="1">
      <alignment vertical="center" wrapText="1"/>
    </xf>
    <xf numFmtId="0" fontId="5" fillId="0" borderId="12" xfId="39" applyFont="1" applyBorder="1" applyAlignment="1">
      <alignment horizontal="center" vertical="center" wrapText="1"/>
    </xf>
    <xf numFmtId="14" fontId="5" fillId="25" borderId="18" xfId="39" applyNumberFormat="1" applyFont="1" applyFill="1" applyBorder="1" applyAlignment="1">
      <alignment horizontal="center" vertical="top"/>
    </xf>
    <xf numFmtId="0" fontId="6" fillId="27" borderId="10" xfId="39" applyFont="1" applyFill="1" applyBorder="1" applyAlignment="1">
      <alignment horizontal="center"/>
    </xf>
    <xf numFmtId="0" fontId="6" fillId="27" borderId="10" xfId="39" applyFont="1" applyFill="1" applyBorder="1"/>
    <xf numFmtId="2" fontId="6" fillId="27" borderId="10" xfId="39" applyNumberFormat="1" applyFont="1" applyFill="1" applyBorder="1" applyAlignment="1">
      <alignment horizontal="right"/>
    </xf>
    <xf numFmtId="0" fontId="6" fillId="27" borderId="0" xfId="39" applyFont="1" applyFill="1"/>
    <xf numFmtId="2" fontId="6" fillId="27" borderId="10" xfId="39" applyNumberFormat="1" applyFont="1" applyFill="1" applyBorder="1"/>
    <xf numFmtId="2" fontId="6" fillId="27" borderId="10" xfId="0" applyNumberFormat="1" applyFont="1" applyFill="1" applyBorder="1" applyAlignment="1">
      <alignment horizontal="right"/>
    </xf>
    <xf numFmtId="2" fontId="6" fillId="27" borderId="0" xfId="39" applyNumberFormat="1" applyFont="1" applyFill="1"/>
    <xf numFmtId="2" fontId="6" fillId="27" borderId="0" xfId="39" applyNumberFormat="1" applyFont="1" applyFill="1" applyBorder="1" applyAlignment="1">
      <alignment horizontal="right"/>
    </xf>
    <xf numFmtId="0" fontId="6" fillId="0" borderId="15" xfId="39" applyFont="1" applyBorder="1" applyAlignment="1">
      <alignment vertical="top"/>
    </xf>
    <xf numFmtId="0" fontId="6" fillId="0" borderId="15" xfId="39" applyFont="1" applyBorder="1"/>
    <xf numFmtId="2" fontId="5" fillId="0" borderId="15" xfId="39" applyNumberFormat="1" applyFont="1" applyBorder="1" applyAlignment="1">
      <alignment horizontal="right"/>
    </xf>
    <xf numFmtId="2" fontId="6" fillId="0" borderId="15" xfId="39" applyNumberFormat="1" applyFont="1" applyBorder="1" applyAlignment="1">
      <alignment horizontal="right"/>
    </xf>
    <xf numFmtId="0" fontId="5" fillId="29" borderId="10" xfId="0" applyFont="1" applyFill="1" applyBorder="1" applyAlignment="1">
      <alignment horizontal="center" vertical="center" wrapText="1"/>
    </xf>
    <xf numFmtId="0" fontId="10" fillId="29" borderId="10" xfId="0" applyFont="1" applyFill="1" applyBorder="1"/>
    <xf numFmtId="1" fontId="6" fillId="29" borderId="10" xfId="0" applyNumberFormat="1" applyFont="1" applyFill="1" applyBorder="1"/>
    <xf numFmtId="1" fontId="5" fillId="29" borderId="10" xfId="0" applyNumberFormat="1" applyFont="1" applyFill="1" applyBorder="1"/>
    <xf numFmtId="0" fontId="11" fillId="0" borderId="28" xfId="41" applyFont="1" applyFill="1" applyBorder="1" applyAlignment="1">
      <alignment vertical="center"/>
    </xf>
    <xf numFmtId="14" fontId="11" fillId="26" borderId="28" xfId="41" applyNumberFormat="1" applyFont="1" applyFill="1" applyBorder="1" applyAlignment="1">
      <alignment horizontal="center" vertical="center"/>
    </xf>
    <xf numFmtId="1" fontId="6" fillId="0" borderId="10" xfId="41" applyNumberFormat="1" applyFont="1" applyFill="1" applyBorder="1" applyAlignment="1">
      <alignment horizontal="left" vertical="top" wrapText="1"/>
    </xf>
    <xf numFmtId="0" fontId="6" fillId="0" borderId="10" xfId="41" quotePrefix="1" applyFont="1" applyFill="1" applyBorder="1" applyAlignment="1">
      <alignment horizontal="center" vertical="top"/>
    </xf>
    <xf numFmtId="0" fontId="26" fillId="30" borderId="10" xfId="41" applyFont="1" applyFill="1" applyBorder="1" applyAlignment="1">
      <alignment horizontal="center" vertical="center" wrapText="1"/>
    </xf>
    <xf numFmtId="0" fontId="76" fillId="0" borderId="0" xfId="41" applyFont="1" applyFill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</xf>
    <xf numFmtId="0" fontId="11" fillId="0" borderId="10" xfId="41" quotePrefix="1" applyFont="1" applyFill="1" applyBorder="1" applyAlignment="1">
      <alignment horizontal="center" vertical="center" wrapText="1"/>
    </xf>
    <xf numFmtId="0" fontId="11" fillId="0" borderId="15" xfId="41" applyFont="1" applyFill="1" applyBorder="1" applyAlignment="1">
      <alignment horizontal="center" vertical="center" wrapText="1"/>
    </xf>
    <xf numFmtId="0" fontId="11" fillId="0" borderId="13" xfId="41" applyFont="1" applyFill="1" applyBorder="1" applyAlignment="1">
      <alignment horizontal="center" vertical="center" wrapText="1"/>
    </xf>
    <xf numFmtId="0" fontId="11" fillId="0" borderId="14" xfId="41" applyFont="1" applyFill="1" applyBorder="1" applyAlignment="1">
      <alignment horizontal="center" vertical="center" wrapText="1"/>
    </xf>
    <xf numFmtId="0" fontId="77" fillId="0" borderId="28" xfId="41" applyFont="1" applyFill="1" applyBorder="1" applyAlignment="1">
      <alignment horizontal="center" vertical="center"/>
    </xf>
    <xf numFmtId="0" fontId="80" fillId="0" borderId="17" xfId="41" applyFont="1" applyFill="1" applyBorder="1" applyAlignment="1">
      <alignment horizontal="left" vertical="center" wrapText="1"/>
    </xf>
    <xf numFmtId="0" fontId="11" fillId="0" borderId="15" xfId="41" applyFont="1" applyFill="1" applyBorder="1" applyAlignment="1">
      <alignment horizontal="left" vertical="top" wrapText="1"/>
    </xf>
    <xf numFmtId="0" fontId="11" fillId="0" borderId="13" xfId="41" applyFont="1" applyFill="1" applyBorder="1" applyAlignment="1">
      <alignment horizontal="left" vertical="top" wrapText="1"/>
    </xf>
    <xf numFmtId="0" fontId="11" fillId="0" borderId="14" xfId="41" applyFont="1" applyFill="1" applyBorder="1" applyAlignment="1">
      <alignment horizontal="left" vertical="top" wrapText="1"/>
    </xf>
    <xf numFmtId="0" fontId="11" fillId="0" borderId="10" xfId="41" applyFont="1" applyFill="1" applyBorder="1" applyAlignment="1">
      <alignment horizontal="center" vertical="center"/>
    </xf>
    <xf numFmtId="0" fontId="11" fillId="0" borderId="15" xfId="41" applyFont="1" applyFill="1" applyBorder="1" applyAlignment="1">
      <alignment horizontal="left" vertical="center" wrapText="1"/>
    </xf>
    <xf numFmtId="0" fontId="11" fillId="0" borderId="13" xfId="41" applyFont="1" applyFill="1" applyBorder="1" applyAlignment="1">
      <alignment horizontal="left" vertical="center" wrapText="1"/>
    </xf>
    <xf numFmtId="0" fontId="11" fillId="0" borderId="14" xfId="41" applyFont="1" applyFill="1" applyBorder="1" applyAlignment="1">
      <alignment horizontal="left" vertical="center" wrapText="1"/>
    </xf>
    <xf numFmtId="0" fontId="5" fillId="0" borderId="10" xfId="41" quotePrefix="1" applyFont="1" applyFill="1" applyBorder="1" applyAlignment="1">
      <alignment horizontal="center" vertical="center" wrapText="1"/>
    </xf>
    <xf numFmtId="1" fontId="11" fillId="0" borderId="15" xfId="41" applyNumberFormat="1" applyFont="1" applyFill="1" applyBorder="1" applyAlignment="1">
      <alignment horizontal="left" vertical="top" wrapText="1"/>
    </xf>
    <xf numFmtId="1" fontId="11" fillId="0" borderId="13" xfId="41" applyNumberFormat="1" applyFont="1" applyFill="1" applyBorder="1" applyAlignment="1">
      <alignment horizontal="left" vertical="top" wrapText="1"/>
    </xf>
    <xf numFmtId="1" fontId="11" fillId="0" borderId="14" xfId="41" applyNumberFormat="1" applyFont="1" applyFill="1" applyBorder="1" applyAlignment="1">
      <alignment horizontal="left" vertical="top" wrapText="1"/>
    </xf>
    <xf numFmtId="0" fontId="26" fillId="0" borderId="10" xfId="41" applyFont="1" applyFill="1" applyBorder="1" applyAlignment="1">
      <alignment horizontal="center" vertical="center" wrapText="1"/>
    </xf>
    <xf numFmtId="0" fontId="26" fillId="0" borderId="15" xfId="41" applyFont="1" applyFill="1" applyBorder="1" applyAlignment="1">
      <alignment horizontal="center" vertical="center" wrapText="1"/>
    </xf>
    <xf numFmtId="0" fontId="26" fillId="0" borderId="13" xfId="41" applyFont="1" applyFill="1" applyBorder="1" applyAlignment="1">
      <alignment horizontal="center" vertical="center" wrapText="1"/>
    </xf>
    <xf numFmtId="0" fontId="88" fillId="0" borderId="10" xfId="41" quotePrefix="1" applyFont="1" applyFill="1" applyBorder="1" applyAlignment="1">
      <alignment horizontal="center" vertical="center" wrapText="1"/>
    </xf>
    <xf numFmtId="0" fontId="88" fillId="0" borderId="15" xfId="41" applyFont="1" applyFill="1" applyBorder="1" applyAlignment="1">
      <alignment horizontal="center" vertical="center" wrapText="1"/>
    </xf>
    <xf numFmtId="0" fontId="88" fillId="0" borderId="13" xfId="41" applyFont="1" applyFill="1" applyBorder="1" applyAlignment="1">
      <alignment horizontal="center" vertical="center" wrapText="1"/>
    </xf>
    <xf numFmtId="0" fontId="88" fillId="0" borderId="14" xfId="41" applyFont="1" applyFill="1" applyBorder="1" applyAlignment="1">
      <alignment horizontal="center" vertical="center" wrapText="1"/>
    </xf>
    <xf numFmtId="165" fontId="49" fillId="29" borderId="10" xfId="39" applyNumberFormat="1" applyFont="1" applyFill="1" applyBorder="1" applyAlignment="1">
      <alignment horizontal="center" wrapText="1"/>
    </xf>
    <xf numFmtId="0" fontId="54" fillId="0" borderId="15" xfId="39" applyFont="1" applyFill="1" applyBorder="1" applyAlignment="1">
      <alignment horizontal="center" vertical="top" wrapText="1"/>
    </xf>
    <xf numFmtId="0" fontId="54" fillId="0" borderId="14" xfId="39" applyFont="1" applyFill="1" applyBorder="1" applyAlignment="1">
      <alignment horizontal="center" vertical="top" wrapText="1"/>
    </xf>
    <xf numFmtId="14" fontId="85" fillId="0" borderId="28" xfId="39" applyNumberFormat="1" applyFont="1" applyFill="1" applyBorder="1" applyAlignment="1">
      <alignment horizontal="center" vertical="top" wrapText="1"/>
    </xf>
    <xf numFmtId="0" fontId="52" fillId="0" borderId="17" xfId="39" applyFont="1" applyFill="1" applyBorder="1" applyAlignment="1">
      <alignment horizontal="left" wrapText="1"/>
    </xf>
    <xf numFmtId="165" fontId="54" fillId="0" borderId="10" xfId="39" applyNumberFormat="1" applyFont="1" applyFill="1" applyBorder="1" applyAlignment="1">
      <alignment horizontal="center" vertical="top" wrapText="1"/>
    </xf>
    <xf numFmtId="0" fontId="91" fillId="0" borderId="10" xfId="39" applyFont="1" applyFill="1" applyBorder="1" applyAlignment="1">
      <alignment horizontal="center" vertical="top" wrapText="1"/>
    </xf>
    <xf numFmtId="0" fontId="49" fillId="0" borderId="10" xfId="39" applyFont="1" applyFill="1" applyBorder="1" applyAlignment="1">
      <alignment horizontal="center" vertical="top" wrapText="1"/>
    </xf>
    <xf numFmtId="0" fontId="50" fillId="0" borderId="17" xfId="39" applyFont="1" applyFill="1" applyBorder="1" applyAlignment="1">
      <alignment horizontal="left" wrapText="1"/>
    </xf>
    <xf numFmtId="14" fontId="86" fillId="0" borderId="0" xfId="39" applyNumberFormat="1" applyFont="1" applyFill="1" applyBorder="1" applyAlignment="1">
      <alignment horizontal="center" vertical="top" wrapText="1"/>
    </xf>
    <xf numFmtId="0" fontId="89" fillId="0" borderId="10" xfId="39" applyFont="1" applyFill="1" applyBorder="1" applyAlignment="1">
      <alignment horizontal="center" vertical="top" wrapText="1"/>
    </xf>
    <xf numFmtId="0" fontId="54" fillId="0" borderId="15" xfId="39" applyFont="1" applyFill="1" applyBorder="1" applyAlignment="1">
      <alignment horizontal="left" wrapText="1"/>
    </xf>
    <xf numFmtId="0" fontId="54" fillId="0" borderId="14" xfId="39" applyFont="1" applyFill="1" applyBorder="1" applyAlignment="1">
      <alignment horizontal="left" wrapText="1"/>
    </xf>
    <xf numFmtId="165" fontId="25" fillId="0" borderId="10" xfId="39" applyNumberFormat="1" applyFont="1" applyFill="1" applyBorder="1" applyAlignment="1">
      <alignment horizontal="center" wrapText="1"/>
    </xf>
    <xf numFmtId="0" fontId="12" fillId="0" borderId="17" xfId="39" applyFont="1" applyFill="1" applyBorder="1" applyAlignment="1">
      <alignment horizontal="left" wrapText="1"/>
    </xf>
    <xf numFmtId="0" fontId="12" fillId="0" borderId="10" xfId="39" applyFont="1" applyFill="1" applyBorder="1" applyAlignment="1">
      <alignment horizontal="center" vertical="top" wrapText="1"/>
    </xf>
    <xf numFmtId="0" fontId="4" fillId="0" borderId="10" xfId="39" applyFont="1" applyFill="1" applyBorder="1" applyAlignment="1">
      <alignment horizontal="center" vertical="top" wrapText="1"/>
    </xf>
    <xf numFmtId="0" fontId="13" fillId="0" borderId="10" xfId="39" applyFont="1" applyFill="1" applyBorder="1" applyAlignment="1">
      <alignment horizontal="center" vertical="top" wrapText="1"/>
    </xf>
    <xf numFmtId="0" fontId="14" fillId="0" borderId="17" xfId="39" applyFont="1" applyFill="1" applyBorder="1" applyAlignment="1">
      <alignment horizontal="left" wrapText="1"/>
    </xf>
    <xf numFmtId="165" fontId="13" fillId="0" borderId="10" xfId="39" applyNumberFormat="1" applyFont="1" applyFill="1" applyBorder="1" applyAlignment="1">
      <alignment horizontal="center" vertical="top" wrapText="1"/>
    </xf>
    <xf numFmtId="0" fontId="59" fillId="0" borderId="0" xfId="39" applyFont="1" applyFill="1" applyBorder="1" applyAlignment="1">
      <alignment horizontal="right" vertical="top" wrapText="1"/>
    </xf>
    <xf numFmtId="0" fontId="25" fillId="0" borderId="10" xfId="39" applyFont="1" applyFill="1" applyBorder="1" applyAlignment="1">
      <alignment horizontal="center" vertical="top" wrapText="1"/>
    </xf>
    <xf numFmtId="165" fontId="25" fillId="0" borderId="10" xfId="39" applyNumberFormat="1" applyFont="1" applyFill="1" applyBorder="1" applyAlignment="1">
      <alignment horizontal="center" vertical="top" wrapText="1"/>
    </xf>
    <xf numFmtId="14" fontId="85" fillId="0" borderId="0" xfId="39" applyNumberFormat="1" applyFont="1" applyFill="1" applyBorder="1" applyAlignment="1">
      <alignment horizontal="center" vertical="top" wrapText="1"/>
    </xf>
    <xf numFmtId="165" fontId="13" fillId="0" borderId="15" xfId="39" applyNumberFormat="1" applyFont="1" applyFill="1" applyBorder="1" applyAlignment="1">
      <alignment horizontal="center" vertical="top" wrapText="1"/>
    </xf>
    <xf numFmtId="165" fontId="13" fillId="0" borderId="13" xfId="39" applyNumberFormat="1" applyFont="1" applyFill="1" applyBorder="1" applyAlignment="1">
      <alignment horizontal="center" vertical="top" wrapText="1"/>
    </xf>
    <xf numFmtId="165" fontId="13" fillId="0" borderId="14" xfId="39" applyNumberFormat="1" applyFont="1" applyFill="1" applyBorder="1" applyAlignment="1">
      <alignment horizontal="center" vertical="top" wrapText="1"/>
    </xf>
    <xf numFmtId="0" fontId="90" fillId="0" borderId="10" xfId="39" applyFont="1" applyFill="1" applyBorder="1" applyAlignment="1">
      <alignment horizontal="center" vertical="top" wrapText="1"/>
    </xf>
    <xf numFmtId="14" fontId="62" fillId="0" borderId="0" xfId="39" applyNumberFormat="1" applyFont="1" applyFill="1" applyBorder="1" applyAlignment="1">
      <alignment horizontal="right" wrapText="1"/>
    </xf>
    <xf numFmtId="14" fontId="87" fillId="0" borderId="0" xfId="39" applyNumberFormat="1" applyFont="1" applyFill="1" applyBorder="1" applyAlignment="1">
      <alignment horizontal="center" vertical="top" wrapText="1"/>
    </xf>
    <xf numFmtId="0" fontId="12" fillId="0" borderId="0" xfId="39" applyFont="1" applyFill="1" applyBorder="1" applyAlignment="1">
      <alignment horizontal="right" wrapText="1"/>
    </xf>
    <xf numFmtId="14" fontId="86" fillId="0" borderId="28" xfId="39" applyNumberFormat="1" applyFont="1" applyFill="1" applyBorder="1" applyAlignment="1">
      <alignment horizontal="center" vertical="top" wrapText="1"/>
    </xf>
    <xf numFmtId="0" fontId="84" fillId="0" borderId="0" xfId="44" applyFont="1" applyFill="1" applyBorder="1" applyAlignment="1">
      <alignment horizontal="center"/>
    </xf>
    <xf numFmtId="0" fontId="69" fillId="0" borderId="33" xfId="44" applyFont="1" applyFill="1" applyBorder="1" applyAlignment="1">
      <alignment horizontal="center" vertical="top" wrapText="1"/>
    </xf>
    <xf numFmtId="0" fontId="69" fillId="0" borderId="12" xfId="44" applyFont="1" applyFill="1" applyBorder="1" applyAlignment="1">
      <alignment horizontal="center" vertical="top" wrapText="1"/>
    </xf>
    <xf numFmtId="0" fontId="69" fillId="0" borderId="34" xfId="44" applyFont="1" applyFill="1" applyBorder="1" applyAlignment="1">
      <alignment horizontal="center" vertical="top" wrapText="1"/>
    </xf>
    <xf numFmtId="0" fontId="69" fillId="0" borderId="10" xfId="44" applyFont="1" applyFill="1" applyBorder="1" applyAlignment="1">
      <alignment horizontal="center" vertical="top" wrapText="1"/>
    </xf>
    <xf numFmtId="0" fontId="69" fillId="0" borderId="35" xfId="44" applyFont="1" applyFill="1" applyBorder="1" applyAlignment="1">
      <alignment horizontal="center" vertical="top" wrapText="1"/>
    </xf>
    <xf numFmtId="0" fontId="69" fillId="0" borderId="23" xfId="44" applyFont="1" applyFill="1" applyBorder="1" applyAlignment="1">
      <alignment horizontal="center" vertical="top" wrapText="1"/>
    </xf>
    <xf numFmtId="0" fontId="69" fillId="0" borderId="33" xfId="44" applyFont="1" applyFill="1" applyBorder="1" applyAlignment="1">
      <alignment horizontal="center" vertical="top"/>
    </xf>
    <xf numFmtId="0" fontId="69" fillId="0" borderId="12" xfId="44" applyFont="1" applyFill="1" applyBorder="1" applyAlignment="1">
      <alignment horizontal="center" vertical="top"/>
    </xf>
    <xf numFmtId="0" fontId="18" fillId="0" borderId="23" xfId="44" applyFont="1" applyFill="1" applyBorder="1" applyAlignment="1">
      <alignment horizontal="center" vertical="center" textRotation="90"/>
    </xf>
    <xf numFmtId="0" fontId="18" fillId="29" borderId="30" xfId="44" applyFont="1" applyFill="1" applyBorder="1" applyAlignment="1">
      <alignment horizontal="center" vertical="center" textRotation="90" wrapText="1"/>
    </xf>
    <xf numFmtId="0" fontId="18" fillId="29" borderId="31" xfId="44" applyFont="1" applyFill="1" applyBorder="1" applyAlignment="1">
      <alignment horizontal="center" vertical="center" textRotation="90" wrapText="1"/>
    </xf>
    <xf numFmtId="0" fontId="18" fillId="29" borderId="19" xfId="44" applyFont="1" applyFill="1" applyBorder="1" applyAlignment="1">
      <alignment horizontal="center" vertical="center" textRotation="90" wrapText="1"/>
    </xf>
    <xf numFmtId="0" fontId="18" fillId="33" borderId="30" xfId="44" applyFont="1" applyFill="1" applyBorder="1" applyAlignment="1">
      <alignment horizontal="center" vertical="center" textRotation="90" wrapText="1"/>
    </xf>
    <xf numFmtId="0" fontId="18" fillId="33" borderId="31" xfId="44" applyFont="1" applyFill="1" applyBorder="1" applyAlignment="1">
      <alignment horizontal="center" vertical="center" textRotation="90" wrapText="1"/>
    </xf>
    <xf numFmtId="0" fontId="18" fillId="30" borderId="32" xfId="44" applyFont="1" applyFill="1" applyBorder="1" applyAlignment="1">
      <alignment horizontal="center" vertical="center" textRotation="90" wrapText="1"/>
    </xf>
    <xf numFmtId="0" fontId="18" fillId="30" borderId="31" xfId="44" applyFont="1" applyFill="1" applyBorder="1" applyAlignment="1">
      <alignment horizontal="center" vertical="center" textRotation="90" wrapText="1"/>
    </xf>
    <xf numFmtId="0" fontId="6" fillId="0" borderId="17" xfId="39" applyFont="1" applyBorder="1" applyAlignment="1">
      <alignment horizontal="left"/>
    </xf>
    <xf numFmtId="0" fontId="84" fillId="24" borderId="28" xfId="39" applyFont="1" applyFill="1" applyBorder="1" applyAlignment="1">
      <alignment horizontal="center" vertical="top"/>
    </xf>
    <xf numFmtId="0" fontId="3" fillId="0" borderId="15" xfId="39" applyFont="1" applyFill="1" applyBorder="1" applyAlignment="1">
      <alignment horizontal="center" vertical="center" wrapText="1"/>
    </xf>
    <xf numFmtId="0" fontId="3" fillId="0" borderId="13" xfId="39" applyFont="1" applyFill="1" applyBorder="1" applyAlignment="1">
      <alignment horizontal="center" vertical="center" wrapText="1"/>
    </xf>
    <xf numFmtId="0" fontId="3" fillId="0" borderId="14" xfId="39" applyFont="1" applyFill="1" applyBorder="1" applyAlignment="1">
      <alignment horizontal="center" vertical="center" wrapText="1"/>
    </xf>
    <xf numFmtId="0" fontId="3" fillId="30" borderId="10" xfId="39" applyFont="1" applyFill="1" applyBorder="1" applyAlignment="1">
      <alignment horizontal="center" vertical="center" wrapText="1"/>
    </xf>
    <xf numFmtId="0" fontId="3" fillId="0" borderId="11" xfId="39" applyFont="1" applyBorder="1" applyAlignment="1">
      <alignment horizontal="center" vertical="top"/>
    </xf>
    <xf numFmtId="0" fontId="3" fillId="0" borderId="18" xfId="39" applyFont="1" applyBorder="1" applyAlignment="1">
      <alignment horizontal="center" vertical="top"/>
    </xf>
    <xf numFmtId="0" fontId="5" fillId="0" borderId="11" xfId="39" applyFont="1" applyBorder="1" applyAlignment="1">
      <alignment horizontal="center" vertical="top" wrapText="1"/>
    </xf>
    <xf numFmtId="0" fontId="5" fillId="0" borderId="18" xfId="39" applyFont="1" applyBorder="1" applyAlignment="1">
      <alignment horizontal="center" vertical="top" wrapText="1"/>
    </xf>
    <xf numFmtId="0" fontId="3" fillId="0" borderId="15" xfId="39" applyFont="1" applyBorder="1" applyAlignment="1">
      <alignment horizontal="center" vertical="center" wrapText="1"/>
    </xf>
    <xf numFmtId="0" fontId="3" fillId="0" borderId="13" xfId="39" applyFont="1" applyBorder="1" applyAlignment="1">
      <alignment horizontal="center" vertical="center" wrapText="1"/>
    </xf>
    <xf numFmtId="0" fontId="3" fillId="0" borderId="14" xfId="39" applyFont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top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30" borderId="15" xfId="0" applyFont="1" applyFill="1" applyBorder="1" applyAlignment="1">
      <alignment horizontal="center" vertical="top" wrapText="1"/>
    </xf>
    <xf numFmtId="0" fontId="5" fillId="30" borderId="13" xfId="0" applyFont="1" applyFill="1" applyBorder="1" applyAlignment="1">
      <alignment horizontal="center" vertical="top" wrapText="1"/>
    </xf>
    <xf numFmtId="0" fontId="5" fillId="3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4" fillId="24" borderId="28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center" vertical="top" wrapText="1"/>
    </xf>
    <xf numFmtId="0" fontId="86" fillId="24" borderId="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30" borderId="15" xfId="0" applyFont="1" applyFill="1" applyBorder="1" applyAlignment="1">
      <alignment horizontal="center" vertical="top" wrapText="1"/>
    </xf>
    <xf numFmtId="0" fontId="13" fillId="30" borderId="13" xfId="0" applyFont="1" applyFill="1" applyBorder="1" applyAlignment="1">
      <alignment horizontal="center" vertical="top" wrapText="1"/>
    </xf>
    <xf numFmtId="0" fontId="13" fillId="30" borderId="14" xfId="0" applyFont="1" applyFill="1" applyBorder="1" applyAlignment="1">
      <alignment horizontal="center" vertical="top" wrapText="1"/>
    </xf>
    <xf numFmtId="0" fontId="13" fillId="24" borderId="15" xfId="0" applyFont="1" applyFill="1" applyBorder="1" applyAlignment="1">
      <alignment horizontal="center" vertical="top" wrapText="1"/>
    </xf>
    <xf numFmtId="0" fontId="13" fillId="24" borderId="13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24" borderId="14" xfId="0" applyFont="1" applyFill="1" applyBorder="1" applyAlignment="1">
      <alignment horizontal="center" vertical="top" wrapText="1"/>
    </xf>
    <xf numFmtId="0" fontId="13" fillId="30" borderId="10" xfId="0" applyFont="1" applyFill="1" applyBorder="1" applyAlignment="1">
      <alignment horizontal="center" vertical="top" wrapText="1"/>
    </xf>
    <xf numFmtId="0" fontId="84" fillId="0" borderId="2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84" fillId="24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30" borderId="15" xfId="0" applyFont="1" applyFill="1" applyBorder="1" applyAlignment="1">
      <alignment horizontal="center" vertical="top" wrapText="1"/>
    </xf>
    <xf numFmtId="0" fontId="3" fillId="30" borderId="13" xfId="0" applyFont="1" applyFill="1" applyBorder="1" applyAlignment="1">
      <alignment horizontal="center" vertical="top" wrapText="1"/>
    </xf>
    <xf numFmtId="0" fontId="3" fillId="3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5" fillId="3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84" fillId="0" borderId="2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27" borderId="10" xfId="0" applyFont="1" applyFill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top" wrapText="1"/>
    </xf>
    <xf numFmtId="0" fontId="88" fillId="0" borderId="18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84" fillId="0" borderId="2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4" borderId="10" xfId="39" applyFont="1" applyFill="1" applyBorder="1" applyAlignment="1">
      <alignment horizontal="center" vertical="top"/>
    </xf>
    <xf numFmtId="0" fontId="3" fillId="24" borderId="0" xfId="39" applyFont="1" applyFill="1" applyAlignment="1">
      <alignment horizontal="center"/>
    </xf>
    <xf numFmtId="0" fontId="5" fillId="0" borderId="10" xfId="39" applyFont="1" applyBorder="1" applyAlignment="1">
      <alignment horizontal="center" vertical="top"/>
    </xf>
    <xf numFmtId="0" fontId="5" fillId="0" borderId="10" xfId="39" applyFont="1" applyBorder="1" applyAlignment="1">
      <alignment horizontal="center" vertical="top" wrapText="1"/>
    </xf>
  </cellXfs>
  <cellStyles count="5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_Compiled Information" xfId="40"/>
    <cellStyle name="Normal_Eleventh Plan _Chananaji " xfId="41"/>
    <cellStyle name="Normal_Financial performance during 8th, 9th &amp; 10th Plan" xfId="42"/>
    <cellStyle name="Normal_Proposed Outlay 11th Plan and Annual Plan 07-08 TO 09-10" xfId="43"/>
    <cellStyle name="Normal_Transfer to States (25.09.09)" xfId="44"/>
    <cellStyle name="Note 2" xfId="45"/>
    <cellStyle name="Output 2" xfId="46"/>
    <cellStyle name="Title 2" xfId="47"/>
    <cellStyle name="Total 2" xfId="48"/>
    <cellStyle name="Warning Text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o(bsc)\shared\My%20Documents\SHARED\2000-01\Manipur%202000-01\Manipur%20200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o(bsc)\shared\My%20Documents\SHARED\2000-01\Assam%202000-01\Assam%20200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o(bsc)\shared\My%20Documents\SHARED\2000-01\Tripura%202000-01\Tripura%202000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habra\pree\My%20Documents%2024-01-02\States\2002-03\Madhya%20Pradesh%202002-03\SG's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iscal%20Indicators%2028.03.2012%20.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Brief"/>
      <sheetName val="BCR1"/>
      <sheetName val="SOF1"/>
      <sheetName val="ARM Matrix"/>
      <sheetName val="BCR-Annex3"/>
      <sheetName val="Vari-Mani"/>
      <sheetName val="SOF2"/>
      <sheetName val="SOF-Annex1"/>
      <sheetName val="SOF-Corex2000-01-Annex2"/>
      <sheetName val="CA-Others"/>
      <sheetName val="SOF3"/>
      <sheetName val="BCR3"/>
      <sheetName val="Appd.SOF"/>
      <sheetName val="Cht data"/>
      <sheetName val="SOF99-00 Revise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Items</v>
          </cell>
          <cell r="D3" t="str">
            <v>9th Plan 1997-2002</v>
          </cell>
          <cell r="E3" t="str">
            <v>1997-98</v>
          </cell>
          <cell r="G3" t="str">
            <v>1998-99</v>
          </cell>
          <cell r="I3" t="str">
            <v>1999-2000</v>
          </cell>
        </row>
        <row r="4">
          <cell r="D4" t="str">
            <v>Projections</v>
          </cell>
          <cell r="E4" t="str">
            <v>AP</v>
          </cell>
          <cell r="F4" t="str">
            <v>Actuals</v>
          </cell>
          <cell r="G4" t="str">
            <v>AP</v>
          </cell>
          <cell r="H4" t="str">
            <v>PA</v>
          </cell>
          <cell r="I4" t="str">
            <v>AP</v>
          </cell>
          <cell r="J4" t="str">
            <v>LE</v>
          </cell>
        </row>
        <row r="5">
          <cell r="A5" t="str">
            <v>(i)</v>
          </cell>
          <cell r="D5" t="str">
            <v>(ii)</v>
          </cell>
          <cell r="E5" t="str">
            <v>(iii)</v>
          </cell>
          <cell r="F5" t="str">
            <v>(iv)</v>
          </cell>
          <cell r="G5" t="str">
            <v>(v)</v>
          </cell>
          <cell r="H5" t="str">
            <v>(vi)</v>
          </cell>
          <cell r="I5" t="str">
            <v>(vii)</v>
          </cell>
          <cell r="J5" t="str">
            <v>(viii)</v>
          </cell>
        </row>
        <row r="6">
          <cell r="A6" t="str">
            <v>I.</v>
          </cell>
          <cell r="B6" t="str">
            <v>REVENUE RECEIPTS (1 to 4)</v>
          </cell>
          <cell r="D6">
            <v>2473.13</v>
          </cell>
          <cell r="E6">
            <v>443.87</v>
          </cell>
          <cell r="F6">
            <v>376.91</v>
          </cell>
          <cell r="G6">
            <v>497.34</v>
          </cell>
          <cell r="H6">
            <v>404.15</v>
          </cell>
          <cell r="I6">
            <v>523.07000000000005</v>
          </cell>
          <cell r="J6">
            <v>454.86</v>
          </cell>
        </row>
        <row r="7">
          <cell r="B7" t="str">
            <v>1.</v>
          </cell>
          <cell r="C7" t="str">
            <v>Tax Revenues</v>
          </cell>
          <cell r="D7">
            <v>2050.88</v>
          </cell>
          <cell r="E7">
            <v>358.2</v>
          </cell>
          <cell r="F7">
            <v>346.54</v>
          </cell>
          <cell r="G7">
            <v>421.47</v>
          </cell>
          <cell r="H7">
            <v>362.43</v>
          </cell>
          <cell r="I7">
            <v>485.66</v>
          </cell>
          <cell r="J7">
            <v>459.34</v>
          </cell>
        </row>
        <row r="8">
          <cell r="B8" t="str">
            <v>1.1</v>
          </cell>
          <cell r="C8" t="str">
            <v>Share of Central Taxes</v>
          </cell>
          <cell r="D8">
            <v>1849.95</v>
          </cell>
          <cell r="E8">
            <v>321.5</v>
          </cell>
          <cell r="F8">
            <v>310.82</v>
          </cell>
          <cell r="G8">
            <v>371.34</v>
          </cell>
          <cell r="H8">
            <v>331.68</v>
          </cell>
          <cell r="I8">
            <v>388.49</v>
          </cell>
          <cell r="J8">
            <v>388.49</v>
          </cell>
        </row>
        <row r="9">
          <cell r="B9" t="str">
            <v>1.2</v>
          </cell>
          <cell r="C9" t="str">
            <v>State Tax Revenue at base level rates</v>
          </cell>
          <cell r="D9">
            <v>200.93</v>
          </cell>
          <cell r="E9">
            <v>36.700000000000003</v>
          </cell>
          <cell r="F9">
            <v>35.72</v>
          </cell>
          <cell r="G9">
            <v>50.13</v>
          </cell>
          <cell r="H9">
            <v>30.75</v>
          </cell>
          <cell r="I9">
            <v>97.17</v>
          </cell>
          <cell r="J9">
            <v>70.849999999999994</v>
          </cell>
        </row>
        <row r="10">
          <cell r="B10" t="str">
            <v>2.</v>
          </cell>
          <cell r="C10" t="str">
            <v>Non-Tax Revenue</v>
          </cell>
          <cell r="D10">
            <v>226.51</v>
          </cell>
          <cell r="E10">
            <v>31.96</v>
          </cell>
          <cell r="F10">
            <v>-28.62</v>
          </cell>
          <cell r="G10">
            <v>54.33</v>
          </cell>
          <cell r="H10">
            <v>-10.57</v>
          </cell>
          <cell r="I10">
            <v>7.38</v>
          </cell>
          <cell r="J10">
            <v>-39.54</v>
          </cell>
        </row>
        <row r="11">
          <cell r="B11" t="str">
            <v>3.</v>
          </cell>
          <cell r="C11" t="str">
            <v>Grants from Centre (Non-Plan) #</v>
          </cell>
          <cell r="D11">
            <v>195.74</v>
          </cell>
          <cell r="E11">
            <v>53.71</v>
          </cell>
          <cell r="F11">
            <v>58.99</v>
          </cell>
          <cell r="G11">
            <v>21.54</v>
          </cell>
          <cell r="H11">
            <v>52.29</v>
          </cell>
          <cell r="I11">
            <v>30.03</v>
          </cell>
          <cell r="J11">
            <v>35.06</v>
          </cell>
        </row>
        <row r="12">
          <cell r="C12" t="str">
            <v>a) Revenue Gap Grant</v>
          </cell>
          <cell r="D12">
            <v>183.04</v>
          </cell>
          <cell r="E12">
            <v>51.31</v>
          </cell>
          <cell r="F12">
            <v>51.31</v>
          </cell>
          <cell r="G12">
            <v>17.899999999999999</v>
          </cell>
          <cell r="H12">
            <v>17.899999999999999</v>
          </cell>
          <cell r="I12">
            <v>0</v>
          </cell>
          <cell r="J12">
            <v>0</v>
          </cell>
        </row>
        <row r="13">
          <cell r="C13" t="str">
            <v>b) Grants for Natural Calamities</v>
          </cell>
          <cell r="D13">
            <v>8.56</v>
          </cell>
          <cell r="E13">
            <v>1.96</v>
          </cell>
          <cell r="F13">
            <v>1.96</v>
          </cell>
          <cell r="G13">
            <v>2.06</v>
          </cell>
          <cell r="H13">
            <v>2.06</v>
          </cell>
          <cell r="I13">
            <v>2.15</v>
          </cell>
          <cell r="J13">
            <v>2.15</v>
          </cell>
        </row>
        <row r="14">
          <cell r="C14" t="str">
            <v>c) Grants in lieu of tax on Railways fares</v>
          </cell>
          <cell r="D14">
            <v>0.56000000000000005</v>
          </cell>
          <cell r="E14">
            <v>0.1</v>
          </cell>
          <cell r="F14">
            <v>7.0000000000000007E-2</v>
          </cell>
          <cell r="G14">
            <v>7.0000000000000007E-2</v>
          </cell>
          <cell r="H14">
            <v>7.0000000000000007E-2</v>
          </cell>
          <cell r="I14">
            <v>7.0000000000000007E-2</v>
          </cell>
          <cell r="J14">
            <v>7.0000000000000007E-2</v>
          </cell>
        </row>
        <row r="15">
          <cell r="C15" t="str">
            <v>d) Agricultural Wealth Tax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e) Others,if any</v>
          </cell>
          <cell r="D16">
            <v>3.58</v>
          </cell>
          <cell r="E16">
            <v>0.34</v>
          </cell>
          <cell r="F16">
            <v>5.65</v>
          </cell>
          <cell r="G16">
            <v>1.51</v>
          </cell>
          <cell r="H16">
            <v>32.26</v>
          </cell>
          <cell r="I16">
            <v>27.81</v>
          </cell>
          <cell r="J16">
            <v>32.840000000000003</v>
          </cell>
        </row>
        <row r="17">
          <cell r="B17" t="str">
            <v>4.</v>
          </cell>
          <cell r="C17" t="str">
            <v>Transfer from funds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II.</v>
          </cell>
          <cell r="B18" t="str">
            <v>NON-PLAN REVENUE EXPENDITURE (1 to 5)</v>
          </cell>
          <cell r="D18">
            <v>2770.93</v>
          </cell>
          <cell r="E18">
            <v>556.79999999999995</v>
          </cell>
          <cell r="F18">
            <v>536.51</v>
          </cell>
          <cell r="G18">
            <v>749.06</v>
          </cell>
          <cell r="H18">
            <v>566.29999999999995</v>
          </cell>
          <cell r="I18">
            <v>840.49</v>
          </cell>
          <cell r="J18">
            <v>948.37</v>
          </cell>
        </row>
        <row r="19">
          <cell r="B19" t="str">
            <v>1.</v>
          </cell>
          <cell r="C19" t="str">
            <v>Non-Plan Non-development(Total a+b)</v>
          </cell>
          <cell r="D19">
            <v>1255.25</v>
          </cell>
          <cell r="E19">
            <v>247.26</v>
          </cell>
          <cell r="F19">
            <v>274.02999999999997</v>
          </cell>
          <cell r="G19">
            <v>279.06</v>
          </cell>
          <cell r="H19">
            <v>285.89999999999998</v>
          </cell>
          <cell r="I19">
            <v>328.51</v>
          </cell>
          <cell r="J19">
            <v>418.06</v>
          </cell>
        </row>
        <row r="20">
          <cell r="B20" t="str">
            <v>a)</v>
          </cell>
          <cell r="C20" t="str">
            <v>Debt Services Total (i+ii)</v>
          </cell>
          <cell r="D20">
            <v>424.72</v>
          </cell>
          <cell r="E20">
            <v>74.680000000000007</v>
          </cell>
          <cell r="F20">
            <v>78.900000000000006</v>
          </cell>
          <cell r="G20">
            <v>84.5</v>
          </cell>
          <cell r="H20">
            <v>91.28</v>
          </cell>
          <cell r="I20">
            <v>94.02</v>
          </cell>
          <cell r="J20">
            <v>98.72</v>
          </cell>
        </row>
        <row r="21">
          <cell r="C21" t="str">
            <v xml:space="preserve">    i)  Interest Payments</v>
          </cell>
          <cell r="D21">
            <v>424.72</v>
          </cell>
          <cell r="E21">
            <v>74.680000000000007</v>
          </cell>
          <cell r="F21">
            <v>78.900000000000006</v>
          </cell>
          <cell r="G21">
            <v>84.5</v>
          </cell>
          <cell r="H21">
            <v>91.28</v>
          </cell>
          <cell r="I21">
            <v>94.02</v>
          </cell>
          <cell r="J21">
            <v>98.72</v>
          </cell>
        </row>
        <row r="22">
          <cell r="C22" t="str">
            <v xml:space="preserve">   ii) Appropriation for reduction or avoidance of debt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b)</v>
          </cell>
          <cell r="C23" t="str">
            <v>Other Non-development</v>
          </cell>
          <cell r="D23">
            <v>830.53</v>
          </cell>
          <cell r="E23">
            <v>172.58</v>
          </cell>
          <cell r="F23">
            <v>195.13</v>
          </cell>
          <cell r="G23">
            <v>194.56</v>
          </cell>
          <cell r="H23">
            <v>194.62</v>
          </cell>
          <cell r="I23">
            <v>234.49</v>
          </cell>
          <cell r="J23">
            <v>319.33999999999997</v>
          </cell>
        </row>
        <row r="24">
          <cell r="B24" t="str">
            <v>2.</v>
          </cell>
          <cell r="C24" t="str">
            <v>Non-Plan Development</v>
          </cell>
          <cell r="D24">
            <v>1261.8900000000001</v>
          </cell>
          <cell r="E24">
            <v>231.47</v>
          </cell>
          <cell r="F24">
            <v>262.48</v>
          </cell>
          <cell r="G24">
            <v>286.23</v>
          </cell>
          <cell r="H24">
            <v>280.39999999999998</v>
          </cell>
          <cell r="I24">
            <v>294.64</v>
          </cell>
          <cell r="J24">
            <v>510.31</v>
          </cell>
        </row>
        <row r="25">
          <cell r="B25" t="str">
            <v>3.</v>
          </cell>
          <cell r="C25" t="str">
            <v>Transfer of funds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4.</v>
          </cell>
          <cell r="C26" t="str">
            <v>Revision of DA and pay scales, bonus etc. not included under above items (in respect of Non-Plan Expenditure)</v>
          </cell>
          <cell r="D26">
            <v>253.79</v>
          </cell>
          <cell r="E26">
            <v>78.069999999999993</v>
          </cell>
          <cell r="F26">
            <v>0</v>
          </cell>
          <cell r="G26">
            <v>183.77</v>
          </cell>
          <cell r="H26">
            <v>0</v>
          </cell>
          <cell r="I26">
            <v>217.34</v>
          </cell>
          <cell r="J26">
            <v>20</v>
          </cell>
        </row>
        <row r="27">
          <cell r="B27" t="str">
            <v>5.</v>
          </cell>
          <cell r="C27" t="str">
            <v>Committed liability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III.</v>
          </cell>
          <cell r="B28" t="str">
            <v>BCR with ARM (I-II)</v>
          </cell>
          <cell r="D28">
            <v>-297.8</v>
          </cell>
          <cell r="E28">
            <v>-112.93</v>
          </cell>
          <cell r="F28">
            <v>-159.6</v>
          </cell>
          <cell r="G28">
            <v>-251.72</v>
          </cell>
          <cell r="H28">
            <v>-162.15</v>
          </cell>
          <cell r="I28">
            <v>-317.42</v>
          </cell>
          <cell r="J28">
            <v>-493.51</v>
          </cell>
        </row>
        <row r="29">
          <cell r="B29" t="str">
            <v xml:space="preserve">    -  Of which ARM</v>
          </cell>
          <cell r="D29" t="str">
            <v>(59.27)</v>
          </cell>
          <cell r="E29">
            <v>0</v>
          </cell>
          <cell r="F29">
            <v>0</v>
          </cell>
          <cell r="G29">
            <v>2.0299999999999998</v>
          </cell>
          <cell r="H29">
            <v>0</v>
          </cell>
          <cell r="I29">
            <v>21.11</v>
          </cell>
          <cell r="J29">
            <v>22.95</v>
          </cell>
        </row>
        <row r="31">
          <cell r="B31" t="str">
            <v xml:space="preserve"># </v>
          </cell>
          <cell r="C31" t="str">
            <v xml:space="preserve"> The share in Central taxes is estimated by assuming a 20% increase over  1999-2000.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Brief"/>
      <sheetName val="BCR1"/>
      <sheetName val="SOF1"/>
      <sheetName val="ARM Matrix"/>
      <sheetName val="BCR-Annex3"/>
      <sheetName val="Vari-Asssam"/>
      <sheetName val="Variation"/>
      <sheetName val="SOF2"/>
      <sheetName val="SOF-Annex1"/>
      <sheetName val="SOF99-00(Rev)"/>
      <sheetName val="SOF-Corex2000-01-Annex2"/>
      <sheetName val="CA-Others"/>
      <sheetName val="BCR3"/>
      <sheetName val="SOF3"/>
      <sheetName val="Appd.SOF"/>
      <sheetName val="Realisation-Xplan"/>
      <sheetName val="SOF_2"/>
      <sheetName val="BCR_2"/>
      <sheetName val="SOF"/>
      <sheetName val="annex III"/>
      <sheetName val="annexII"/>
      <sheetName val="annexI"/>
      <sheetName val="REAL-NINTH-TENTH"/>
      <sheetName val="SOF02-03_Appd."/>
      <sheetName val="TS Indi. Tripura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C3" t="str">
            <v>Items</v>
          </cell>
          <cell r="D3" t="str">
            <v>9th Plan 1997-2002</v>
          </cell>
          <cell r="E3" t="str">
            <v>1997-98</v>
          </cell>
          <cell r="G3" t="str">
            <v>1998-99</v>
          </cell>
          <cell r="I3" t="str">
            <v>1999-2000</v>
          </cell>
        </row>
        <row r="4">
          <cell r="D4" t="str">
            <v>Projections</v>
          </cell>
          <cell r="E4" t="str">
            <v>AP</v>
          </cell>
          <cell r="F4" t="str">
            <v>Actuals</v>
          </cell>
          <cell r="G4" t="str">
            <v>AP</v>
          </cell>
          <cell r="H4" t="str">
            <v>PA</v>
          </cell>
          <cell r="I4" t="str">
            <v>AP</v>
          </cell>
          <cell r="J4" t="str">
            <v>LE</v>
          </cell>
        </row>
        <row r="5">
          <cell r="A5" t="str">
            <v>(i)</v>
          </cell>
          <cell r="D5" t="str">
            <v>(ii)</v>
          </cell>
          <cell r="E5" t="str">
            <v>(iii)</v>
          </cell>
          <cell r="F5" t="str">
            <v>(iv)</v>
          </cell>
          <cell r="G5" t="str">
            <v>(v)</v>
          </cell>
          <cell r="H5" t="str">
            <v>(vi)</v>
          </cell>
          <cell r="I5" t="str">
            <v>(vii)</v>
          </cell>
          <cell r="J5" t="str">
            <v>(viii)</v>
          </cell>
        </row>
        <row r="6">
          <cell r="A6" t="str">
            <v>I.</v>
          </cell>
          <cell r="B6" t="str">
            <v>REVENUE RECEIPTS (1 to 4)</v>
          </cell>
          <cell r="D6">
            <v>13817.37</v>
          </cell>
          <cell r="E6">
            <v>2879.53</v>
          </cell>
          <cell r="F6">
            <v>3077.73</v>
          </cell>
          <cell r="G6">
            <v>3662.31</v>
          </cell>
          <cell r="H6">
            <v>3062.45</v>
          </cell>
          <cell r="I6">
            <v>3701.6</v>
          </cell>
          <cell r="J6">
            <v>3426.21</v>
          </cell>
        </row>
        <row r="7">
          <cell r="B7" t="str">
            <v>1.</v>
          </cell>
          <cell r="C7" t="str">
            <v>Tax Revenues</v>
          </cell>
          <cell r="D7">
            <v>11488.97</v>
          </cell>
          <cell r="E7">
            <v>2313.8000000000002</v>
          </cell>
          <cell r="F7">
            <v>2387.61</v>
          </cell>
          <cell r="G7">
            <v>2753.35</v>
          </cell>
          <cell r="H7">
            <v>2407.17</v>
          </cell>
          <cell r="I7">
            <v>2993.69</v>
          </cell>
          <cell r="J7">
            <v>2806.41</v>
          </cell>
        </row>
        <row r="8">
          <cell r="B8" t="str">
            <v>1.1</v>
          </cell>
          <cell r="C8" t="str">
            <v>Share of Central Taxes</v>
          </cell>
          <cell r="D8">
            <v>6868.61</v>
          </cell>
          <cell r="E8">
            <v>1397.89</v>
          </cell>
          <cell r="F8">
            <v>1475.25</v>
          </cell>
          <cell r="G8">
            <v>1627.33</v>
          </cell>
          <cell r="H8">
            <v>1349.33</v>
          </cell>
          <cell r="I8">
            <v>1480.42</v>
          </cell>
          <cell r="J8">
            <v>1627.33</v>
          </cell>
        </row>
        <row r="9">
          <cell r="B9" t="str">
            <v>1.2</v>
          </cell>
          <cell r="C9" t="str">
            <v>State Tax Revenue at base level rates</v>
          </cell>
          <cell r="D9">
            <v>4620.3599999999997</v>
          </cell>
          <cell r="E9">
            <v>915.91</v>
          </cell>
          <cell r="F9">
            <v>912.36</v>
          </cell>
          <cell r="G9">
            <v>1126.02</v>
          </cell>
          <cell r="H9">
            <v>1057.8399999999999</v>
          </cell>
          <cell r="I9">
            <v>1513.27</v>
          </cell>
          <cell r="J9">
            <v>1179.08</v>
          </cell>
        </row>
        <row r="10">
          <cell r="B10" t="str">
            <v>2.</v>
          </cell>
          <cell r="C10" t="str">
            <v>Non-Tax Revenue</v>
          </cell>
          <cell r="D10">
            <v>1579.06</v>
          </cell>
          <cell r="E10">
            <v>376.67</v>
          </cell>
          <cell r="F10">
            <v>381.2</v>
          </cell>
          <cell r="G10">
            <v>365.85</v>
          </cell>
          <cell r="H10">
            <v>371.39</v>
          </cell>
          <cell r="I10">
            <v>371.71</v>
          </cell>
          <cell r="J10">
            <v>389.7</v>
          </cell>
        </row>
        <row r="11">
          <cell r="B11" t="str">
            <v>3.</v>
          </cell>
          <cell r="C11" t="str">
            <v>Grants from Centre (Non-Plan)</v>
          </cell>
          <cell r="D11">
            <v>749.34</v>
          </cell>
          <cell r="E11">
            <v>189.06</v>
          </cell>
          <cell r="F11">
            <v>308.92</v>
          </cell>
          <cell r="G11">
            <v>543.11</v>
          </cell>
          <cell r="H11">
            <v>283.89</v>
          </cell>
          <cell r="I11">
            <v>336.2</v>
          </cell>
          <cell r="J11">
            <v>230.1</v>
          </cell>
        </row>
        <row r="12">
          <cell r="C12" t="str">
            <v>a) Revenue Gap Grant</v>
          </cell>
          <cell r="E12">
            <v>92.08</v>
          </cell>
          <cell r="F12">
            <v>92.08</v>
          </cell>
          <cell r="G12">
            <v>27.81</v>
          </cell>
          <cell r="H12">
            <v>27.81</v>
          </cell>
          <cell r="I12">
            <v>0</v>
          </cell>
          <cell r="J12">
            <v>0</v>
          </cell>
        </row>
        <row r="13">
          <cell r="C13" t="str">
            <v>b) Grants for Natural Calamities</v>
          </cell>
          <cell r="E13">
            <v>39.58</v>
          </cell>
          <cell r="F13">
            <v>39.58</v>
          </cell>
          <cell r="G13">
            <v>41.6</v>
          </cell>
          <cell r="H13">
            <v>101.5</v>
          </cell>
          <cell r="I13">
            <v>43.37</v>
          </cell>
          <cell r="J13">
            <v>43.37</v>
          </cell>
        </row>
        <row r="14">
          <cell r="C14" t="str">
            <v>c) Grants in lieu of tax on Railways fares</v>
          </cell>
          <cell r="E14">
            <v>5.2</v>
          </cell>
          <cell r="F14">
            <v>5.2</v>
          </cell>
          <cell r="G14">
            <v>5.2</v>
          </cell>
          <cell r="H14">
            <v>5.2</v>
          </cell>
          <cell r="I14">
            <v>5.2</v>
          </cell>
          <cell r="J14">
            <v>5.2</v>
          </cell>
        </row>
        <row r="15">
          <cell r="C15" t="str">
            <v>d) Agricultural Wealth Tax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e) Others,if any</v>
          </cell>
          <cell r="E16">
            <v>52.2</v>
          </cell>
          <cell r="F16">
            <v>172.06</v>
          </cell>
          <cell r="G16">
            <v>468.5</v>
          </cell>
          <cell r="H16">
            <v>149.38</v>
          </cell>
          <cell r="I16">
            <v>287.63</v>
          </cell>
          <cell r="J16">
            <v>181.53</v>
          </cell>
        </row>
        <row r="17">
          <cell r="B17" t="str">
            <v>4.</v>
          </cell>
          <cell r="C17" t="str">
            <v>Transfer from funds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II.</v>
          </cell>
          <cell r="B18" t="str">
            <v>NON-PLAN REVENUE EXPENDITURE (1 to 5)</v>
          </cell>
          <cell r="D18">
            <v>15032.39</v>
          </cell>
          <cell r="E18">
            <v>3427.32</v>
          </cell>
          <cell r="F18">
            <v>3065.52</v>
          </cell>
          <cell r="G18">
            <v>4057.55</v>
          </cell>
          <cell r="H18">
            <v>3099.36</v>
          </cell>
          <cell r="I18">
            <v>4533.88</v>
          </cell>
          <cell r="J18">
            <v>4784.58</v>
          </cell>
        </row>
        <row r="19">
          <cell r="B19" t="str">
            <v>1.</v>
          </cell>
          <cell r="C19" t="str">
            <v>Non-Plan Non-development(Total a+b)</v>
          </cell>
          <cell r="D19">
            <v>6865.39</v>
          </cell>
          <cell r="E19">
            <v>1536.3</v>
          </cell>
          <cell r="F19">
            <v>1589.9</v>
          </cell>
          <cell r="G19">
            <v>1824.9</v>
          </cell>
          <cell r="H19">
            <v>1396.45</v>
          </cell>
          <cell r="I19">
            <v>1972.13</v>
          </cell>
          <cell r="J19">
            <v>2406.13</v>
          </cell>
        </row>
        <row r="20">
          <cell r="B20" t="str">
            <v>a)</v>
          </cell>
          <cell r="C20" t="str">
            <v>Debt Services Total (i+ii)</v>
          </cell>
          <cell r="D20">
            <v>2786</v>
          </cell>
          <cell r="E20">
            <v>596.82000000000005</v>
          </cell>
          <cell r="F20">
            <v>638.92999999999995</v>
          </cell>
          <cell r="G20">
            <v>715</v>
          </cell>
          <cell r="H20">
            <v>325.22000000000003</v>
          </cell>
          <cell r="I20">
            <v>813.64</v>
          </cell>
          <cell r="J20">
            <v>861.77</v>
          </cell>
        </row>
        <row r="21">
          <cell r="C21" t="str">
            <v xml:space="preserve">    i)  Interest Payments</v>
          </cell>
          <cell r="D21">
            <v>2786</v>
          </cell>
          <cell r="E21">
            <v>596.82000000000005</v>
          </cell>
          <cell r="F21">
            <v>638.92999999999995</v>
          </cell>
          <cell r="G21">
            <v>715</v>
          </cell>
          <cell r="H21">
            <v>325.22000000000003</v>
          </cell>
          <cell r="I21">
            <v>813.64</v>
          </cell>
          <cell r="J21">
            <v>861.77</v>
          </cell>
        </row>
        <row r="22">
          <cell r="C22" t="str">
            <v xml:space="preserve">   ii) Appropriation for reduction or avoidance of debt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b)</v>
          </cell>
          <cell r="C23" t="str">
            <v>Other Non-development</v>
          </cell>
          <cell r="D23">
            <v>4079.39</v>
          </cell>
          <cell r="E23">
            <v>939.48</v>
          </cell>
          <cell r="F23">
            <v>950.97</v>
          </cell>
          <cell r="G23">
            <v>1109.9000000000001</v>
          </cell>
          <cell r="H23">
            <v>1071.23</v>
          </cell>
          <cell r="I23">
            <v>1158.49</v>
          </cell>
          <cell r="J23">
            <v>1544.36</v>
          </cell>
        </row>
        <row r="24">
          <cell r="B24" t="str">
            <v>2.</v>
          </cell>
          <cell r="C24" t="str">
            <v>Non-Plan Development</v>
          </cell>
          <cell r="D24">
            <v>6574</v>
          </cell>
          <cell r="E24">
            <v>1526.02</v>
          </cell>
          <cell r="F24">
            <v>1475.62</v>
          </cell>
          <cell r="G24">
            <v>1632.65</v>
          </cell>
          <cell r="H24">
            <v>1702.91</v>
          </cell>
          <cell r="I24">
            <v>1974.75</v>
          </cell>
          <cell r="J24">
            <v>2378.4499999999998</v>
          </cell>
        </row>
        <row r="25">
          <cell r="B25" t="str">
            <v>3.</v>
          </cell>
          <cell r="C25" t="str">
            <v>Transfer of funds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4.</v>
          </cell>
          <cell r="C26" t="str">
            <v>Revision of DA and pay scales, bonus etc. not included under above items (in respect of Non-Plan Expenditure)</v>
          </cell>
          <cell r="D26">
            <v>1593</v>
          </cell>
          <cell r="E26">
            <v>365</v>
          </cell>
          <cell r="F26">
            <v>0</v>
          </cell>
          <cell r="G26">
            <v>600</v>
          </cell>
          <cell r="H26">
            <v>0</v>
          </cell>
          <cell r="I26">
            <v>587</v>
          </cell>
          <cell r="J26">
            <v>0</v>
          </cell>
        </row>
        <row r="27">
          <cell r="B27" t="str">
            <v>5.</v>
          </cell>
          <cell r="C27" t="str">
            <v>Committed liability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III.</v>
          </cell>
          <cell r="B28" t="str">
            <v>BCR with ARM (I-II)</v>
          </cell>
          <cell r="D28">
            <v>-1215.02</v>
          </cell>
          <cell r="E28">
            <v>-547.79</v>
          </cell>
          <cell r="F28">
            <v>12.21</v>
          </cell>
          <cell r="G28">
            <v>-395.24</v>
          </cell>
          <cell r="H28">
            <v>-36.909999999999997</v>
          </cell>
          <cell r="I28">
            <v>-832.28</v>
          </cell>
          <cell r="J28">
            <v>-1358.37</v>
          </cell>
        </row>
        <row r="29">
          <cell r="B29" t="str">
            <v xml:space="preserve">    -  Of which ARM</v>
          </cell>
          <cell r="D29" t="str">
            <v>(0.00)</v>
          </cell>
          <cell r="E29">
            <v>0</v>
          </cell>
          <cell r="F29">
            <v>30.44</v>
          </cell>
          <cell r="G29">
            <v>176.71</v>
          </cell>
          <cell r="H29">
            <v>38.15</v>
          </cell>
          <cell r="I29">
            <v>215</v>
          </cell>
          <cell r="J29">
            <v>2.92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Brief"/>
      <sheetName val="Brief (2)"/>
      <sheetName val="BCR1"/>
      <sheetName val="SOF1"/>
      <sheetName val="BCR-Annex3"/>
      <sheetName val="Variation"/>
      <sheetName val="SOF2"/>
      <sheetName val="SOF-Annex1"/>
      <sheetName val="SOF-Annex1Manik"/>
      <sheetName val="SOF-Corex2000-01-Annex2"/>
      <sheetName val="CA-Others"/>
      <sheetName val="BCR3"/>
      <sheetName val="SOF3"/>
      <sheetName val="Appd.SO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Gs BCR"/>
      <sheetName val="SG's SOF"/>
      <sheetName val="CPAGE"/>
      <sheetName val="CONTENTS"/>
      <sheetName val="FORM1"/>
      <sheetName val="FORM2"/>
      <sheetName val="FORM3"/>
      <sheetName val="FORM4"/>
      <sheetName val="FORM5"/>
      <sheetName val="FORM6"/>
      <sheetName val="FORM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SDP"/>
      <sheetName val="State Own Tax Revenues"/>
      <sheetName val="IP as % of TRR"/>
      <sheetName val="Revenue Deficit (%GSDP)"/>
      <sheetName val="Fiscal Deficit (%GSDP)"/>
      <sheetName val="Outstanding liabilities 26.03"/>
      <sheetName val="Salaries (% Plan Expenditure)"/>
      <sheetName val="Salaries (% Revenue Exp)"/>
      <sheetName val="Salaries (% Total Expenditure)"/>
      <sheetName val="Public Exp Ratio"/>
      <sheetName val="Social Allocation Ratio"/>
      <sheetName val="Plan Exp(%GSDP)"/>
      <sheetName val="Per Capita Plan Expenditure"/>
      <sheetName val="NON Plan Exp(%GSDP)"/>
      <sheetName val="Non Plan Exp Per Cap &amp; GSDP"/>
      <sheetName val="Per Capita Total Expenditure"/>
      <sheetName val="Per Capita GSDP"/>
      <sheetName val="Committed Expenditure Per Capit"/>
      <sheetName val="Total Revenue Reciepts"/>
      <sheetName val="SOTR &amp; SONTR (%age of IP)"/>
      <sheetName val="Per Capita income-statewise"/>
      <sheetName val="SOTR &amp; SONTR"/>
      <sheetName val="SONTR"/>
      <sheetName val="Salaries BCR %age of TRE(NSCS)"/>
      <sheetName val="Salaries BCR(Non Plan)"/>
      <sheetName val="NPRE"/>
      <sheetName val="Salaries BCR (Non Plan)"/>
      <sheetName val="Rev Exp (net of IP &amp; Pension)"/>
      <sheetName val="Revenue Expenditure"/>
      <sheetName val="Pensions"/>
      <sheetName val="BCR"/>
      <sheetName val="Social Sector Expenditure"/>
      <sheetName val="Non-Plan Expenditure"/>
      <sheetName val="Sheet2"/>
      <sheetName val="Sheet3"/>
    </sheetNames>
    <sheetDataSet>
      <sheetData sheetId="0"/>
      <sheetData sheetId="1" refreshError="1"/>
      <sheetData sheetId="2" refreshError="1"/>
      <sheetData sheetId="3"/>
      <sheetData sheetId="4">
        <row r="17">
          <cell r="H17">
            <v>235516</v>
          </cell>
          <cell r="I17">
            <v>276432</v>
          </cell>
          <cell r="J17">
            <v>318563</v>
          </cell>
          <cell r="K17">
            <v>361701</v>
          </cell>
          <cell r="L17">
            <v>409946.41860000003</v>
          </cell>
        </row>
        <row r="36">
          <cell r="H36">
            <v>3944320</v>
          </cell>
          <cell r="I36">
            <v>4546440</v>
          </cell>
          <cell r="J36">
            <v>5276885</v>
          </cell>
          <cell r="K36">
            <v>6180166</v>
          </cell>
          <cell r="L36">
            <v>7094552.8959999997</v>
          </cell>
        </row>
        <row r="40">
          <cell r="H40">
            <v>167198</v>
          </cell>
          <cell r="I40">
            <v>199583</v>
          </cell>
          <cell r="J40">
            <v>235103</v>
          </cell>
          <cell r="K40">
            <v>277425</v>
          </cell>
          <cell r="L40">
            <v>327658</v>
          </cell>
        </row>
        <row r="42">
          <cell r="H42">
            <v>4347034</v>
          </cell>
          <cell r="I42">
            <v>5022455</v>
          </cell>
          <cell r="J42">
            <v>5830551</v>
          </cell>
          <cell r="K42">
            <v>6819292</v>
          </cell>
          <cell r="L42">
            <v>7832157.3146000002</v>
          </cell>
        </row>
      </sheetData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6">
          <cell r="H6">
            <v>4810</v>
          </cell>
          <cell r="I6">
            <v>5687</v>
          </cell>
          <cell r="J6">
            <v>7085</v>
          </cell>
          <cell r="K6">
            <v>8233</v>
          </cell>
          <cell r="L6">
            <v>9357</v>
          </cell>
        </row>
        <row r="7">
          <cell r="H7">
            <v>71076</v>
          </cell>
          <cell r="I7">
            <v>81074</v>
          </cell>
          <cell r="J7">
            <v>92737</v>
          </cell>
          <cell r="K7">
            <v>104015</v>
          </cell>
          <cell r="L7">
            <v>115408</v>
          </cell>
        </row>
        <row r="8">
          <cell r="H8">
            <v>33963</v>
          </cell>
          <cell r="I8">
            <v>41483</v>
          </cell>
          <cell r="J8">
            <v>46969</v>
          </cell>
          <cell r="K8">
            <v>54695</v>
          </cell>
          <cell r="L8">
            <v>63084</v>
          </cell>
        </row>
        <row r="9">
          <cell r="H9">
            <v>37099</v>
          </cell>
          <cell r="I9">
            <v>42315</v>
          </cell>
          <cell r="J9">
            <v>48197</v>
          </cell>
          <cell r="K9">
            <v>54731</v>
          </cell>
          <cell r="L9">
            <v>62365</v>
          </cell>
        </row>
        <row r="10">
          <cell r="H10">
            <v>6783</v>
          </cell>
          <cell r="I10">
            <v>7399</v>
          </cell>
          <cell r="J10">
            <v>8314</v>
          </cell>
          <cell r="K10">
            <v>9198</v>
          </cell>
          <cell r="L10">
            <v>10188</v>
          </cell>
        </row>
        <row r="11">
          <cell r="H11">
            <v>9735</v>
          </cell>
          <cell r="I11">
            <v>11617</v>
          </cell>
          <cell r="J11">
            <v>13216</v>
          </cell>
          <cell r="K11">
            <v>15135</v>
          </cell>
          <cell r="L11">
            <v>17459</v>
          </cell>
        </row>
        <row r="12">
          <cell r="H12">
            <v>3816</v>
          </cell>
          <cell r="I12">
            <v>4577</v>
          </cell>
          <cell r="J12">
            <v>5284</v>
          </cell>
          <cell r="K12">
            <v>6058</v>
          </cell>
          <cell r="L12">
            <v>6666.8290000000006</v>
          </cell>
        </row>
        <row r="13">
          <cell r="H13">
            <v>8075</v>
          </cell>
          <cell r="I13">
            <v>9436</v>
          </cell>
          <cell r="J13">
            <v>10273</v>
          </cell>
          <cell r="K13">
            <v>11121</v>
          </cell>
          <cell r="L13">
            <v>12065</v>
          </cell>
        </row>
        <row r="14">
          <cell r="H14">
            <v>2506</v>
          </cell>
          <cell r="I14">
            <v>3229</v>
          </cell>
          <cell r="J14">
            <v>4740</v>
          </cell>
          <cell r="K14">
            <v>5652</v>
          </cell>
          <cell r="L14">
            <v>6272.5895999999993</v>
          </cell>
        </row>
        <row r="15">
          <cell r="H15">
            <v>11797</v>
          </cell>
          <cell r="I15">
            <v>13573</v>
          </cell>
          <cell r="J15">
            <v>15348</v>
          </cell>
          <cell r="K15">
            <v>17387</v>
          </cell>
          <cell r="L15">
            <v>19731</v>
          </cell>
        </row>
        <row r="16">
          <cell r="H16">
            <v>45856</v>
          </cell>
          <cell r="I16">
            <v>56042</v>
          </cell>
          <cell r="J16">
            <v>66400</v>
          </cell>
          <cell r="K16">
            <v>75476</v>
          </cell>
          <cell r="L16">
            <v>87350</v>
          </cell>
        </row>
        <row r="17">
          <cell r="H17">
            <v>235516</v>
          </cell>
          <cell r="I17">
            <v>276432</v>
          </cell>
          <cell r="J17">
            <v>318563</v>
          </cell>
          <cell r="K17">
            <v>361701</v>
          </cell>
          <cell r="L17">
            <v>409946.41860000003</v>
          </cell>
        </row>
        <row r="19">
          <cell r="H19">
            <v>364813</v>
          </cell>
          <cell r="I19">
            <v>426765</v>
          </cell>
          <cell r="J19">
            <v>490411</v>
          </cell>
          <cell r="K19">
            <v>588963</v>
          </cell>
          <cell r="L19">
            <v>676234</v>
          </cell>
        </row>
        <row r="20">
          <cell r="H20">
            <v>118923</v>
          </cell>
          <cell r="I20">
            <v>151650</v>
          </cell>
          <cell r="J20">
            <v>177537</v>
          </cell>
          <cell r="K20">
            <v>217814</v>
          </cell>
          <cell r="L20">
            <v>262230</v>
          </cell>
        </row>
        <row r="21">
          <cell r="H21">
            <v>80255</v>
          </cell>
          <cell r="I21">
            <v>96972</v>
          </cell>
          <cell r="J21">
            <v>99262</v>
          </cell>
          <cell r="K21">
            <v>117567</v>
          </cell>
          <cell r="L21">
            <v>135536</v>
          </cell>
        </row>
        <row r="22">
          <cell r="H22">
            <v>19565</v>
          </cell>
          <cell r="I22">
            <v>25414</v>
          </cell>
          <cell r="J22">
            <v>29518</v>
          </cell>
          <cell r="K22">
            <v>35934</v>
          </cell>
          <cell r="L22">
            <v>44460</v>
          </cell>
        </row>
        <row r="23">
          <cell r="H23">
            <v>329285</v>
          </cell>
          <cell r="I23">
            <v>367912</v>
          </cell>
          <cell r="J23">
            <v>427555</v>
          </cell>
          <cell r="K23">
            <v>513173</v>
          </cell>
          <cell r="L23">
            <v>586300.15250000008</v>
          </cell>
        </row>
        <row r="24">
          <cell r="H24">
            <v>151607</v>
          </cell>
          <cell r="I24">
            <v>182502</v>
          </cell>
          <cell r="J24">
            <v>222031</v>
          </cell>
          <cell r="K24">
            <v>264149</v>
          </cell>
          <cell r="L24">
            <v>309326</v>
          </cell>
        </row>
        <row r="25">
          <cell r="H25">
            <v>83950</v>
          </cell>
          <cell r="I25">
            <v>87794</v>
          </cell>
          <cell r="J25">
            <v>96327</v>
          </cell>
          <cell r="K25">
            <v>106696</v>
          </cell>
          <cell r="L25">
            <v>119386</v>
          </cell>
        </row>
        <row r="26">
          <cell r="H26">
            <v>270629</v>
          </cell>
          <cell r="I26">
            <v>310316</v>
          </cell>
          <cell r="J26">
            <v>345236</v>
          </cell>
          <cell r="K26">
            <v>405123</v>
          </cell>
          <cell r="L26">
            <v>465552</v>
          </cell>
        </row>
        <row r="27">
          <cell r="H27">
            <v>175141</v>
          </cell>
          <cell r="I27">
            <v>202783</v>
          </cell>
          <cell r="J27">
            <v>232381</v>
          </cell>
          <cell r="K27">
            <v>276997</v>
          </cell>
          <cell r="L27">
            <v>326693</v>
          </cell>
        </row>
        <row r="28">
          <cell r="H28">
            <v>161479</v>
          </cell>
          <cell r="I28">
            <v>196556</v>
          </cell>
          <cell r="J28">
            <v>226934</v>
          </cell>
          <cell r="K28">
            <v>259903</v>
          </cell>
          <cell r="L28">
            <v>288570.30090000003</v>
          </cell>
        </row>
        <row r="29">
          <cell r="H29">
            <v>679004</v>
          </cell>
          <cell r="I29">
            <v>756334</v>
          </cell>
          <cell r="J29">
            <v>901330</v>
          </cell>
          <cell r="K29">
            <v>1029621</v>
          </cell>
          <cell r="L29">
            <v>1173150.1673999999</v>
          </cell>
        </row>
        <row r="30">
          <cell r="H30">
            <v>129274</v>
          </cell>
          <cell r="I30">
            <v>148491</v>
          </cell>
          <cell r="J30">
            <v>163727</v>
          </cell>
          <cell r="K30">
            <v>195028</v>
          </cell>
          <cell r="L30">
            <v>226236</v>
          </cell>
        </row>
        <row r="31">
          <cell r="H31">
            <v>152245</v>
          </cell>
          <cell r="I31">
            <v>174039</v>
          </cell>
          <cell r="J31">
            <v>200382</v>
          </cell>
          <cell r="K31">
            <v>229304</v>
          </cell>
          <cell r="L31">
            <v>259424</v>
          </cell>
        </row>
        <row r="32">
          <cell r="H32">
            <v>194822</v>
          </cell>
          <cell r="I32">
            <v>230949</v>
          </cell>
          <cell r="J32">
            <v>263258</v>
          </cell>
          <cell r="K32">
            <v>323682</v>
          </cell>
          <cell r="L32">
            <v>360452.27519999997</v>
          </cell>
        </row>
        <row r="33">
          <cell r="H33">
            <v>350819</v>
          </cell>
          <cell r="I33">
            <v>401336</v>
          </cell>
          <cell r="J33">
            <v>473519</v>
          </cell>
          <cell r="K33">
            <v>547267</v>
          </cell>
          <cell r="L33">
            <v>635044</v>
          </cell>
        </row>
        <row r="34">
          <cell r="H34">
            <v>383026</v>
          </cell>
          <cell r="I34">
            <v>444685</v>
          </cell>
          <cell r="J34">
            <v>521930</v>
          </cell>
          <cell r="K34">
            <v>595055</v>
          </cell>
          <cell r="L34">
            <v>676083</v>
          </cell>
        </row>
        <row r="35">
          <cell r="H35">
            <v>299483</v>
          </cell>
          <cell r="I35">
            <v>341942</v>
          </cell>
          <cell r="J35">
            <v>405547</v>
          </cell>
          <cell r="K35">
            <v>473890</v>
          </cell>
          <cell r="L35">
            <v>549876</v>
          </cell>
        </row>
        <row r="36">
          <cell r="H36">
            <v>3944320</v>
          </cell>
          <cell r="I36">
            <v>4546440</v>
          </cell>
          <cell r="J36">
            <v>5276885</v>
          </cell>
          <cell r="K36">
            <v>6180166</v>
          </cell>
          <cell r="L36">
            <v>7094552.8959999997</v>
          </cell>
        </row>
        <row r="38">
          <cell r="H38">
            <v>157947</v>
          </cell>
          <cell r="I38">
            <v>189533</v>
          </cell>
          <cell r="J38">
            <v>223759</v>
          </cell>
          <cell r="K38">
            <v>264496</v>
          </cell>
          <cell r="L38">
            <v>313934</v>
          </cell>
        </row>
        <row r="39">
          <cell r="H39">
            <v>9251</v>
          </cell>
          <cell r="I39">
            <v>10050</v>
          </cell>
          <cell r="J39">
            <v>11344</v>
          </cell>
          <cell r="K39">
            <v>12929</v>
          </cell>
          <cell r="L39">
            <v>13724</v>
          </cell>
        </row>
        <row r="40">
          <cell r="H40">
            <v>167198</v>
          </cell>
          <cell r="I40">
            <v>199583</v>
          </cell>
          <cell r="J40">
            <v>235103</v>
          </cell>
          <cell r="K40">
            <v>277425</v>
          </cell>
          <cell r="L40">
            <v>327658</v>
          </cell>
        </row>
        <row r="42">
          <cell r="H42">
            <v>4347034</v>
          </cell>
          <cell r="I42">
            <v>5022455</v>
          </cell>
          <cell r="J42">
            <v>5830551</v>
          </cell>
          <cell r="K42">
            <v>6819292</v>
          </cell>
          <cell r="L42">
            <v>7832157.3146000002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  <pageSetUpPr fitToPage="1"/>
  </sheetPr>
  <dimension ref="A1:R127"/>
  <sheetViews>
    <sheetView zoomScaleNormal="100" zoomScaleSheetLayoutView="85" workbookViewId="0">
      <selection activeCell="C5" sqref="C5"/>
    </sheetView>
  </sheetViews>
  <sheetFormatPr defaultRowHeight="14.25"/>
  <cols>
    <col min="1" max="1" width="6.140625" style="350" customWidth="1"/>
    <col min="2" max="2" width="21.85546875" style="348" customWidth="1"/>
    <col min="3" max="3" width="18.42578125" style="361" customWidth="1"/>
    <col min="4" max="4" width="15.28515625" style="350" customWidth="1"/>
    <col min="5" max="5" width="14.7109375" style="350" customWidth="1"/>
    <col min="6" max="6" width="13.42578125" style="350" customWidth="1"/>
    <col min="7" max="7" width="15" style="350" customWidth="1"/>
    <col min="8" max="8" width="1.85546875" style="367" customWidth="1"/>
    <col min="9" max="9" width="14" style="350" customWidth="1"/>
    <col min="10" max="10" width="2.7109375" style="400" customWidth="1"/>
    <col min="11" max="11" width="14.5703125" style="350" customWidth="1"/>
    <col min="12" max="16" width="16.85546875" style="350" customWidth="1"/>
    <col min="17" max="17" width="15.85546875" style="350" customWidth="1"/>
    <col min="18" max="18" width="14" style="350" customWidth="1"/>
    <col min="19" max="16384" width="9.140625" style="350"/>
  </cols>
  <sheetData>
    <row r="1" spans="1:18" ht="19.5" customHeight="1">
      <c r="A1" s="501" t="s">
        <v>264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</row>
    <row r="2" spans="1:18" ht="14.25" customHeight="1">
      <c r="A2" s="351"/>
      <c r="B2" s="497">
        <v>41129</v>
      </c>
      <c r="C2" s="496"/>
      <c r="D2" s="496"/>
      <c r="E2" s="496"/>
      <c r="F2" s="496"/>
      <c r="G2" s="351"/>
      <c r="H2" s="352"/>
      <c r="I2" s="345"/>
      <c r="J2" s="394"/>
      <c r="K2" s="351"/>
      <c r="P2" s="507" t="s">
        <v>258</v>
      </c>
      <c r="Q2" s="507"/>
    </row>
    <row r="3" spans="1:18" s="355" customFormat="1" ht="17.25" customHeight="1">
      <c r="A3" s="503" t="s">
        <v>99</v>
      </c>
      <c r="B3" s="516" t="s">
        <v>241</v>
      </c>
      <c r="C3" s="374" t="s">
        <v>130</v>
      </c>
      <c r="D3" s="346" t="s">
        <v>55</v>
      </c>
      <c r="E3" s="346" t="s">
        <v>56</v>
      </c>
      <c r="F3" s="346" t="s">
        <v>7</v>
      </c>
      <c r="G3" s="346" t="s">
        <v>8</v>
      </c>
      <c r="H3" s="346"/>
      <c r="I3" s="512" t="s">
        <v>9</v>
      </c>
      <c r="J3" s="512"/>
      <c r="K3" s="372" t="s">
        <v>130</v>
      </c>
      <c r="L3" s="346" t="s">
        <v>55</v>
      </c>
      <c r="M3" s="346" t="s">
        <v>56</v>
      </c>
      <c r="N3" s="346" t="s">
        <v>7</v>
      </c>
      <c r="O3" s="346" t="s">
        <v>8</v>
      </c>
      <c r="P3" s="347" t="s">
        <v>9</v>
      </c>
      <c r="Q3" s="369" t="s">
        <v>130</v>
      </c>
      <c r="R3" s="346" t="s">
        <v>130</v>
      </c>
    </row>
    <row r="4" spans="1:18" s="355" customFormat="1" ht="42.75" customHeight="1">
      <c r="A4" s="503"/>
      <c r="B4" s="516"/>
      <c r="C4" s="420" t="s">
        <v>266</v>
      </c>
      <c r="D4" s="402" t="s">
        <v>242</v>
      </c>
      <c r="E4" s="402" t="s">
        <v>242</v>
      </c>
      <c r="F4" s="402" t="s">
        <v>242</v>
      </c>
      <c r="G4" s="502" t="s">
        <v>242</v>
      </c>
      <c r="H4" s="502"/>
      <c r="I4" s="502" t="s">
        <v>298</v>
      </c>
      <c r="J4" s="502"/>
      <c r="K4" s="373" t="s">
        <v>259</v>
      </c>
      <c r="L4" s="354" t="s">
        <v>242</v>
      </c>
      <c r="M4" s="354" t="s">
        <v>242</v>
      </c>
      <c r="N4" s="354" t="s">
        <v>242</v>
      </c>
      <c r="O4" s="354" t="s">
        <v>242</v>
      </c>
      <c r="P4" s="354" t="s">
        <v>243</v>
      </c>
      <c r="Q4" s="370" t="s">
        <v>259</v>
      </c>
      <c r="R4" s="354" t="s">
        <v>265</v>
      </c>
    </row>
    <row r="5" spans="1:18" ht="18" customHeight="1">
      <c r="A5" s="503"/>
      <c r="B5" s="516"/>
      <c r="C5" s="500" t="s">
        <v>257</v>
      </c>
      <c r="D5" s="504" t="s">
        <v>256</v>
      </c>
      <c r="E5" s="505"/>
      <c r="F5" s="505"/>
      <c r="G5" s="505"/>
      <c r="H5" s="505"/>
      <c r="I5" s="505"/>
      <c r="J5" s="505"/>
      <c r="K5" s="506"/>
      <c r="L5" s="504" t="s">
        <v>257</v>
      </c>
      <c r="M5" s="505"/>
      <c r="N5" s="505"/>
      <c r="O5" s="505"/>
      <c r="P5" s="505"/>
      <c r="Q5" s="506"/>
      <c r="R5" s="368"/>
    </row>
    <row r="6" spans="1:18" ht="22.5" customHeight="1">
      <c r="A6" s="353"/>
      <c r="B6" s="513" t="s">
        <v>13</v>
      </c>
      <c r="C6" s="514"/>
      <c r="D6" s="515"/>
      <c r="E6" s="354"/>
      <c r="F6" s="354"/>
      <c r="G6" s="354"/>
      <c r="H6" s="354"/>
      <c r="I6" s="354"/>
      <c r="J6" s="395"/>
      <c r="K6" s="373"/>
      <c r="L6" s="354"/>
      <c r="M6" s="354"/>
      <c r="N6" s="354"/>
      <c r="O6" s="354"/>
      <c r="P6" s="354"/>
      <c r="Q6" s="371"/>
      <c r="R6" s="368"/>
    </row>
    <row r="7" spans="1:18" ht="24.75" customHeight="1">
      <c r="A7" s="471">
        <v>1</v>
      </c>
      <c r="B7" s="393" t="s">
        <v>14</v>
      </c>
      <c r="C7" s="472">
        <v>7901</v>
      </c>
      <c r="D7" s="375">
        <v>1082.9847</v>
      </c>
      <c r="E7" s="375">
        <v>1739.2817000000002</v>
      </c>
      <c r="F7" s="375">
        <v>2016.01</v>
      </c>
      <c r="G7" s="375">
        <v>2555.12</v>
      </c>
      <c r="H7" s="381"/>
      <c r="I7" s="375">
        <v>3200</v>
      </c>
      <c r="J7" s="396" t="s">
        <v>246</v>
      </c>
      <c r="K7" s="382">
        <f>+D7+E7+F7+G7+I7</f>
        <v>10593.396400000001</v>
      </c>
      <c r="L7" s="383">
        <f t="shared" ref="L7:L17" si="0">+D7/$D$52</f>
        <v>1024.038335222225</v>
      </c>
      <c r="M7" s="383">
        <f t="shared" ref="M7:M17" si="1">+E7/$E$52</f>
        <v>1513.4760977885203</v>
      </c>
      <c r="N7" s="383">
        <f t="shared" ref="N7:N17" si="2">+F7/$F$52</f>
        <v>1655.5328010971996</v>
      </c>
      <c r="O7" s="383">
        <f t="shared" ref="O7:O17" si="3">+G7/$G$52</f>
        <v>1934.2136130164051</v>
      </c>
      <c r="P7" s="383">
        <f t="shared" ref="P7:P17" si="4">+I7/$I$52</f>
        <v>2243.0774276399225</v>
      </c>
      <c r="Q7" s="384">
        <f>+L7+M7+N7+O7+P7</f>
        <v>8370.3382747642718</v>
      </c>
      <c r="R7" s="385">
        <f>+Q7/C7*100</f>
        <v>105.94023889082737</v>
      </c>
    </row>
    <row r="8" spans="1:18" ht="20.100000000000001" customHeight="1">
      <c r="A8" s="471">
        <v>2</v>
      </c>
      <c r="B8" s="393" t="s">
        <v>15</v>
      </c>
      <c r="C8" s="472">
        <v>23954</v>
      </c>
      <c r="D8" s="375">
        <v>2669.2779999999998</v>
      </c>
      <c r="E8" s="375">
        <v>3593.7552000000001</v>
      </c>
      <c r="F8" s="375">
        <v>5023.0895</v>
      </c>
      <c r="G8" s="375">
        <v>6883.09</v>
      </c>
      <c r="H8" s="381"/>
      <c r="I8" s="375">
        <v>9000</v>
      </c>
      <c r="J8" s="396"/>
      <c r="K8" s="382">
        <f t="shared" ref="K8:K17" si="5">+D8+E8+F8+G8+I8</f>
        <v>27169.2127</v>
      </c>
      <c r="L8" s="383">
        <f t="shared" si="0"/>
        <v>2523.9904122055555</v>
      </c>
      <c r="M8" s="383">
        <f t="shared" si="1"/>
        <v>3127.1889979082762</v>
      </c>
      <c r="N8" s="383">
        <f t="shared" si="2"/>
        <v>4124.9246928819457</v>
      </c>
      <c r="O8" s="383">
        <f t="shared" si="3"/>
        <v>5210.4661924360071</v>
      </c>
      <c r="P8" s="383">
        <f t="shared" si="4"/>
        <v>6308.655265237282</v>
      </c>
      <c r="Q8" s="384">
        <f t="shared" ref="Q8:Q17" si="6">+L8+M8+N8+O8+P8</f>
        <v>21295.225560669067</v>
      </c>
      <c r="R8" s="385">
        <f t="shared" ref="R8:R48" si="7">+Q8/C8*100</f>
        <v>88.900499126112834</v>
      </c>
    </row>
    <row r="9" spans="1:18" ht="20.100000000000001" customHeight="1">
      <c r="A9" s="471">
        <v>3</v>
      </c>
      <c r="B9" s="393" t="s">
        <v>16</v>
      </c>
      <c r="C9" s="472">
        <v>13778</v>
      </c>
      <c r="D9" s="375">
        <v>2098.7462</v>
      </c>
      <c r="E9" s="375">
        <v>2285.9520000000002</v>
      </c>
      <c r="F9" s="375">
        <v>2807.67</v>
      </c>
      <c r="G9" s="375">
        <v>3104.9</v>
      </c>
      <c r="H9" s="381"/>
      <c r="I9" s="375">
        <v>3306.85</v>
      </c>
      <c r="J9" s="396"/>
      <c r="K9" s="382">
        <f t="shared" si="5"/>
        <v>13604.118200000001</v>
      </c>
      <c r="L9" s="383">
        <f t="shared" si="0"/>
        <v>1984.5123986534352</v>
      </c>
      <c r="M9" s="383">
        <f t="shared" si="1"/>
        <v>1989.1738714274195</v>
      </c>
      <c r="N9" s="383">
        <f t="shared" si="2"/>
        <v>2305.638255592271</v>
      </c>
      <c r="O9" s="383">
        <f t="shared" si="3"/>
        <v>2350.3944421610872</v>
      </c>
      <c r="P9" s="383">
        <f t="shared" si="4"/>
        <v>2317.9751848722117</v>
      </c>
      <c r="Q9" s="384">
        <f t="shared" si="6"/>
        <v>10947.694152706425</v>
      </c>
      <c r="R9" s="385">
        <f t="shared" si="7"/>
        <v>79.4577888859517</v>
      </c>
    </row>
    <row r="10" spans="1:18" ht="20.100000000000001" customHeight="1">
      <c r="A10" s="471">
        <v>4</v>
      </c>
      <c r="B10" s="393" t="s">
        <v>60</v>
      </c>
      <c r="C10" s="472">
        <v>25834</v>
      </c>
      <c r="D10" s="375">
        <v>4403.3104999999996</v>
      </c>
      <c r="E10" s="375">
        <v>4826.7001</v>
      </c>
      <c r="F10" s="375">
        <v>5279.1410999999998</v>
      </c>
      <c r="G10" s="375">
        <v>5768.05</v>
      </c>
      <c r="H10" s="381"/>
      <c r="I10" s="375">
        <v>6600</v>
      </c>
      <c r="J10" s="396" t="s">
        <v>246</v>
      </c>
      <c r="K10" s="382">
        <f t="shared" si="5"/>
        <v>26877.201699999998</v>
      </c>
      <c r="L10" s="383">
        <f t="shared" si="0"/>
        <v>4163.6403117112759</v>
      </c>
      <c r="M10" s="383">
        <f t="shared" si="1"/>
        <v>4200.0644476069974</v>
      </c>
      <c r="N10" s="383">
        <f t="shared" si="2"/>
        <v>4335.1924110844448</v>
      </c>
      <c r="O10" s="383">
        <f t="shared" si="3"/>
        <v>4366.3862482228924</v>
      </c>
      <c r="P10" s="383">
        <f t="shared" si="4"/>
        <v>4626.3471945073406</v>
      </c>
      <c r="Q10" s="384">
        <f t="shared" si="6"/>
        <v>21691.630613132947</v>
      </c>
      <c r="R10" s="385">
        <f t="shared" si="7"/>
        <v>83.965435523468869</v>
      </c>
    </row>
    <row r="11" spans="1:18" ht="20.100000000000001" customHeight="1">
      <c r="A11" s="471">
        <v>5</v>
      </c>
      <c r="B11" s="393" t="s">
        <v>18</v>
      </c>
      <c r="C11" s="472">
        <v>8154</v>
      </c>
      <c r="D11" s="375">
        <v>1336.5032000000001</v>
      </c>
      <c r="E11" s="375">
        <v>1521.5023000000001</v>
      </c>
      <c r="F11" s="375">
        <v>1784.4138</v>
      </c>
      <c r="G11" s="375">
        <v>1680.11</v>
      </c>
      <c r="H11" s="381"/>
      <c r="I11" s="375">
        <v>2754.02</v>
      </c>
      <c r="J11" s="396"/>
      <c r="K11" s="382">
        <f t="shared" si="5"/>
        <v>9076.5493000000006</v>
      </c>
      <c r="L11" s="383">
        <f t="shared" si="0"/>
        <v>1263.7579385444471</v>
      </c>
      <c r="M11" s="383">
        <f t="shared" si="1"/>
        <v>1323.9703285443977</v>
      </c>
      <c r="N11" s="383">
        <f t="shared" si="2"/>
        <v>1465.3476801357624</v>
      </c>
      <c r="O11" s="383">
        <f t="shared" si="3"/>
        <v>1271.8352301907514</v>
      </c>
      <c r="P11" s="383">
        <f t="shared" si="4"/>
        <v>1930.4625303965311</v>
      </c>
      <c r="Q11" s="384">
        <f t="shared" si="6"/>
        <v>7255.3737078118902</v>
      </c>
      <c r="R11" s="385">
        <f t="shared" si="7"/>
        <v>88.97931944826945</v>
      </c>
    </row>
    <row r="12" spans="1:18" ht="20.100000000000001" customHeight="1">
      <c r="A12" s="471">
        <v>6</v>
      </c>
      <c r="B12" s="393" t="s">
        <v>19</v>
      </c>
      <c r="C12" s="472">
        <v>9185</v>
      </c>
      <c r="D12" s="375">
        <v>984.06539999999995</v>
      </c>
      <c r="E12" s="375">
        <v>1386.9577999999999</v>
      </c>
      <c r="F12" s="375">
        <v>1417.8633</v>
      </c>
      <c r="G12" s="375">
        <v>2109.19</v>
      </c>
      <c r="H12" s="381"/>
      <c r="I12" s="375">
        <v>2728.18</v>
      </c>
      <c r="J12" s="396"/>
      <c r="K12" s="382">
        <f t="shared" si="5"/>
        <v>8626.2564999999995</v>
      </c>
      <c r="L12" s="383">
        <f t="shared" si="0"/>
        <v>930.50316774169835</v>
      </c>
      <c r="M12" s="383">
        <f t="shared" si="1"/>
        <v>1206.8933278268555</v>
      </c>
      <c r="N12" s="383">
        <f t="shared" si="2"/>
        <v>1164.3390660869336</v>
      </c>
      <c r="O12" s="383">
        <f t="shared" si="3"/>
        <v>1596.646736919625</v>
      </c>
      <c r="P12" s="383">
        <f t="shared" si="4"/>
        <v>1912.3496801683386</v>
      </c>
      <c r="Q12" s="384">
        <f t="shared" si="6"/>
        <v>6810.7319787434508</v>
      </c>
      <c r="R12" s="385">
        <f t="shared" si="7"/>
        <v>74.150593127310287</v>
      </c>
    </row>
    <row r="13" spans="1:18" ht="20.100000000000001" customHeight="1">
      <c r="A13" s="471">
        <v>7</v>
      </c>
      <c r="B13" s="393" t="s">
        <v>20</v>
      </c>
      <c r="C13" s="472">
        <v>5534</v>
      </c>
      <c r="D13" s="375">
        <v>767.33350000000007</v>
      </c>
      <c r="E13" s="375">
        <v>822.52809999999999</v>
      </c>
      <c r="F13" s="375">
        <v>1067.2208000000001</v>
      </c>
      <c r="G13" s="375">
        <v>1110.69</v>
      </c>
      <c r="H13" s="381"/>
      <c r="I13" s="375">
        <v>1624.94</v>
      </c>
      <c r="J13" s="396"/>
      <c r="K13" s="382">
        <f t="shared" si="5"/>
        <v>5392.7124000000003</v>
      </c>
      <c r="L13" s="383">
        <f t="shared" si="0"/>
        <v>725.56788650868589</v>
      </c>
      <c r="M13" s="383">
        <f t="shared" si="1"/>
        <v>715.74180255527654</v>
      </c>
      <c r="N13" s="383">
        <f t="shared" si="2"/>
        <v>876.39398634589827</v>
      </c>
      <c r="O13" s="383">
        <f t="shared" si="3"/>
        <v>840.78701502911463</v>
      </c>
      <c r="P13" s="383">
        <f t="shared" si="4"/>
        <v>1139.02069852163</v>
      </c>
      <c r="Q13" s="384">
        <f t="shared" si="6"/>
        <v>4297.5113889606055</v>
      </c>
      <c r="R13" s="385">
        <f t="shared" si="7"/>
        <v>77.656512268894204</v>
      </c>
    </row>
    <row r="14" spans="1:18" ht="20.100000000000001" customHeight="1">
      <c r="A14" s="471">
        <v>8</v>
      </c>
      <c r="B14" s="393" t="s">
        <v>21</v>
      </c>
      <c r="C14" s="472">
        <v>5978</v>
      </c>
      <c r="D14" s="375">
        <v>846.95309999999995</v>
      </c>
      <c r="E14" s="375">
        <v>1097.4150999999999</v>
      </c>
      <c r="F14" s="375">
        <v>1428.4957400000003</v>
      </c>
      <c r="G14" s="375">
        <v>1356.11</v>
      </c>
      <c r="H14" s="381"/>
      <c r="I14" s="375">
        <v>1674.36</v>
      </c>
      <c r="J14" s="396"/>
      <c r="K14" s="382">
        <f t="shared" si="5"/>
        <v>6403.3339399999995</v>
      </c>
      <c r="L14" s="383">
        <f t="shared" si="0"/>
        <v>800.85382788445906</v>
      </c>
      <c r="M14" s="383">
        <f t="shared" si="1"/>
        <v>954.94106745456963</v>
      </c>
      <c r="N14" s="383">
        <f t="shared" si="2"/>
        <v>1173.0703487570088</v>
      </c>
      <c r="O14" s="383">
        <f t="shared" si="3"/>
        <v>1026.5687806238757</v>
      </c>
      <c r="P14" s="383">
        <f t="shared" si="4"/>
        <v>1173.6622255447439</v>
      </c>
      <c r="Q14" s="384">
        <f t="shared" si="6"/>
        <v>5129.0962502646571</v>
      </c>
      <c r="R14" s="385">
        <f t="shared" si="7"/>
        <v>85.799535802352906</v>
      </c>
    </row>
    <row r="15" spans="1:18" ht="20.100000000000001" customHeight="1">
      <c r="A15" s="471">
        <v>9</v>
      </c>
      <c r="B15" s="393" t="s">
        <v>22</v>
      </c>
      <c r="C15" s="472">
        <v>4720</v>
      </c>
      <c r="D15" s="375">
        <v>607.04239999999993</v>
      </c>
      <c r="E15" s="375">
        <v>1140.2485999999999</v>
      </c>
      <c r="F15" s="375">
        <v>1019.2557</v>
      </c>
      <c r="G15" s="375">
        <v>841.65</v>
      </c>
      <c r="H15" s="381"/>
      <c r="I15" s="375">
        <v>1400</v>
      </c>
      <c r="J15" s="396" t="s">
        <v>246</v>
      </c>
      <c r="K15" s="382">
        <f t="shared" si="5"/>
        <v>5008.1967000000004</v>
      </c>
      <c r="L15" s="383">
        <f t="shared" si="0"/>
        <v>574.00135819583033</v>
      </c>
      <c r="M15" s="383">
        <f t="shared" si="1"/>
        <v>992.21362568054565</v>
      </c>
      <c r="N15" s="383">
        <f t="shared" si="2"/>
        <v>837.0053938498753</v>
      </c>
      <c r="O15" s="383">
        <f t="shared" si="3"/>
        <v>637.12502246284225</v>
      </c>
      <c r="P15" s="383">
        <f t="shared" si="4"/>
        <v>981.34637459246619</v>
      </c>
      <c r="Q15" s="384">
        <f t="shared" si="6"/>
        <v>4021.6917747815596</v>
      </c>
      <c r="R15" s="385">
        <f t="shared" si="7"/>
        <v>85.205334211473712</v>
      </c>
    </row>
    <row r="16" spans="1:18" ht="20.100000000000001" customHeight="1">
      <c r="A16" s="471">
        <v>10</v>
      </c>
      <c r="B16" s="393" t="s">
        <v>23</v>
      </c>
      <c r="C16" s="472">
        <v>8852</v>
      </c>
      <c r="D16" s="375">
        <v>1067.1507000000001</v>
      </c>
      <c r="E16" s="375">
        <v>1431.1577</v>
      </c>
      <c r="F16" s="375">
        <v>1735.5678</v>
      </c>
      <c r="G16" s="375">
        <v>1441.04</v>
      </c>
      <c r="H16" s="381"/>
      <c r="I16" s="375">
        <v>1643.05</v>
      </c>
      <c r="J16" s="396"/>
      <c r="K16" s="382">
        <f t="shared" si="5"/>
        <v>7317.9661999999998</v>
      </c>
      <c r="L16" s="383">
        <f t="shared" si="0"/>
        <v>1009.0661726423579</v>
      </c>
      <c r="M16" s="383">
        <f t="shared" si="1"/>
        <v>1245.3548905367047</v>
      </c>
      <c r="N16" s="383">
        <f t="shared" si="2"/>
        <v>1425.2356989440054</v>
      </c>
      <c r="O16" s="383">
        <f t="shared" si="3"/>
        <v>1090.8603842094151</v>
      </c>
      <c r="P16" s="383">
        <f t="shared" si="4"/>
        <v>1151.7151148386797</v>
      </c>
      <c r="Q16" s="384">
        <f t="shared" si="6"/>
        <v>5922.2322611711625</v>
      </c>
      <c r="R16" s="385">
        <f t="shared" si="7"/>
        <v>66.902759389642597</v>
      </c>
    </row>
    <row r="17" spans="1:18" ht="20.100000000000001" customHeight="1">
      <c r="A17" s="471">
        <v>11</v>
      </c>
      <c r="B17" s="393" t="s">
        <v>24</v>
      </c>
      <c r="C17" s="472">
        <v>42798</v>
      </c>
      <c r="D17" s="375">
        <v>3944.8821999999996</v>
      </c>
      <c r="E17" s="375">
        <v>3653.5678000000003</v>
      </c>
      <c r="F17" s="375">
        <v>3514.0871000000002</v>
      </c>
      <c r="G17" s="375">
        <v>4475.1000000000004</v>
      </c>
      <c r="H17" s="381"/>
      <c r="I17" s="375">
        <v>7800</v>
      </c>
      <c r="J17" s="396" t="s">
        <v>246</v>
      </c>
      <c r="K17" s="382">
        <f t="shared" si="5"/>
        <v>23387.6371</v>
      </c>
      <c r="L17" s="383">
        <f t="shared" si="0"/>
        <v>3730.1640556286602</v>
      </c>
      <c r="M17" s="383">
        <f t="shared" si="1"/>
        <v>3179.2363117198261</v>
      </c>
      <c r="N17" s="383">
        <f t="shared" si="2"/>
        <v>2885.7428583997776</v>
      </c>
      <c r="O17" s="383">
        <f t="shared" si="3"/>
        <v>3387.6292853602636</v>
      </c>
      <c r="P17" s="383">
        <f t="shared" si="4"/>
        <v>5467.5012298723113</v>
      </c>
      <c r="Q17" s="384">
        <f t="shared" si="6"/>
        <v>18650.27374098084</v>
      </c>
      <c r="R17" s="385">
        <f t="shared" si="7"/>
        <v>43.577442265948967</v>
      </c>
    </row>
    <row r="18" spans="1:18" ht="22.5" customHeight="1">
      <c r="A18" s="353"/>
      <c r="B18" s="393" t="s">
        <v>260</v>
      </c>
      <c r="C18" s="380">
        <f>SUM(C7:C17)</f>
        <v>156688</v>
      </c>
      <c r="D18" s="386">
        <f>SUM(D7:D17)</f>
        <v>19808.249899999999</v>
      </c>
      <c r="E18" s="386">
        <f t="shared" ref="E18:K18" si="8">SUM(E7:E17)</f>
        <v>23499.0664</v>
      </c>
      <c r="F18" s="386">
        <f t="shared" si="8"/>
        <v>27092.814839999999</v>
      </c>
      <c r="G18" s="386">
        <f t="shared" si="8"/>
        <v>31325.050000000003</v>
      </c>
      <c r="H18" s="386">
        <f t="shared" si="8"/>
        <v>0</v>
      </c>
      <c r="I18" s="386">
        <f t="shared" si="8"/>
        <v>41731.4</v>
      </c>
      <c r="J18" s="397"/>
      <c r="K18" s="387">
        <f t="shared" si="8"/>
        <v>143456.58113999999</v>
      </c>
      <c r="L18" s="386">
        <f t="shared" ref="L18:Q18" si="9">SUM(L7:L17)</f>
        <v>18730.095864938634</v>
      </c>
      <c r="M18" s="386">
        <f t="shared" si="9"/>
        <v>20448.254769049388</v>
      </c>
      <c r="N18" s="386">
        <f t="shared" si="9"/>
        <v>22248.423193175124</v>
      </c>
      <c r="O18" s="386">
        <f t="shared" si="9"/>
        <v>23712.912950632279</v>
      </c>
      <c r="P18" s="386">
        <f t="shared" si="9"/>
        <v>29252.112926191461</v>
      </c>
      <c r="Q18" s="388">
        <f t="shared" si="9"/>
        <v>114391.79970398688</v>
      </c>
      <c r="R18" s="385">
        <f t="shared" si="7"/>
        <v>73.006101107925872</v>
      </c>
    </row>
    <row r="19" spans="1:18" ht="22.5" customHeight="1">
      <c r="A19" s="353"/>
      <c r="B19" s="509" t="s">
        <v>261</v>
      </c>
      <c r="C19" s="510"/>
      <c r="D19" s="511"/>
      <c r="E19" s="389"/>
      <c r="F19" s="389"/>
      <c r="G19" s="389"/>
      <c r="H19" s="389"/>
      <c r="I19" s="389"/>
      <c r="J19" s="398"/>
      <c r="K19" s="390"/>
      <c r="L19" s="389"/>
      <c r="M19" s="389"/>
      <c r="N19" s="389"/>
      <c r="O19" s="389"/>
      <c r="P19" s="389"/>
      <c r="Q19" s="391"/>
      <c r="R19" s="385"/>
    </row>
    <row r="20" spans="1:18" ht="20.100000000000001" customHeight="1">
      <c r="A20" s="471">
        <v>12</v>
      </c>
      <c r="B20" s="393" t="s">
        <v>244</v>
      </c>
      <c r="C20" s="472">
        <v>147395</v>
      </c>
      <c r="D20" s="375">
        <v>27170.795999999998</v>
      </c>
      <c r="E20" s="375">
        <v>30617.676299999999</v>
      </c>
      <c r="F20" s="375">
        <v>29390.9689</v>
      </c>
      <c r="G20" s="375">
        <v>32248.71</v>
      </c>
      <c r="H20" s="381" t="s">
        <v>249</v>
      </c>
      <c r="I20" s="375">
        <v>43000</v>
      </c>
      <c r="J20" s="396" t="s">
        <v>246</v>
      </c>
      <c r="K20" s="382">
        <f t="shared" ref="K20:K36" si="10">+D20+E20+F20+G20+I20</f>
        <v>162428.15119999999</v>
      </c>
      <c r="L20" s="383">
        <f t="shared" ref="L20:L36" si="11">+D20/$D$52</f>
        <v>25691.90192853388</v>
      </c>
      <c r="M20" s="383">
        <f t="shared" ref="M20:M36" si="12">+E20/$E$52</f>
        <v>26642.677405204719</v>
      </c>
      <c r="N20" s="383">
        <f t="shared" ref="N20:N36" si="13">+F20/$F$52</f>
        <v>24135.650651523396</v>
      </c>
      <c r="O20" s="383">
        <f t="shared" ref="O20:O36" si="14">+G20/$G$52</f>
        <v>24412.1191506537</v>
      </c>
      <c r="P20" s="383">
        <f t="shared" ref="P20:P36" si="15">+I20/$I$52</f>
        <v>30141.352933911461</v>
      </c>
      <c r="Q20" s="384">
        <f t="shared" ref="Q20:Q36" si="16">+L20+M20+N20+O20+P20</f>
        <v>131023.70206982715</v>
      </c>
      <c r="R20" s="385">
        <f t="shared" si="7"/>
        <v>88.892908219293147</v>
      </c>
    </row>
    <row r="21" spans="1:18" ht="20.100000000000001" customHeight="1">
      <c r="A21" s="471">
        <v>13</v>
      </c>
      <c r="B21" s="393" t="s">
        <v>28</v>
      </c>
      <c r="C21" s="472">
        <v>60631</v>
      </c>
      <c r="D21" s="375">
        <v>9652.3041000000012</v>
      </c>
      <c r="E21" s="375">
        <v>12510.776899999999</v>
      </c>
      <c r="F21" s="375">
        <v>14183.51</v>
      </c>
      <c r="G21" s="375">
        <v>18717.580000000002</v>
      </c>
      <c r="H21" s="381"/>
      <c r="I21" s="375">
        <v>21390</v>
      </c>
      <c r="J21" s="396"/>
      <c r="K21" s="382">
        <f t="shared" si="10"/>
        <v>76454.171000000002</v>
      </c>
      <c r="L21" s="383">
        <f t="shared" si="11"/>
        <v>9126.9335768295314</v>
      </c>
      <c r="M21" s="383">
        <f t="shared" si="12"/>
        <v>10886.54115254289</v>
      </c>
      <c r="N21" s="383">
        <f t="shared" si="13"/>
        <v>11647.395617923592</v>
      </c>
      <c r="O21" s="383">
        <f t="shared" si="14"/>
        <v>14169.118490999879</v>
      </c>
      <c r="P21" s="383">
        <f t="shared" si="15"/>
        <v>14993.570680380608</v>
      </c>
      <c r="Q21" s="384">
        <f t="shared" si="16"/>
        <v>60823.559518676499</v>
      </c>
      <c r="R21" s="385">
        <f t="shared" si="7"/>
        <v>100.31759251649568</v>
      </c>
    </row>
    <row r="22" spans="1:18" ht="15" customHeight="1">
      <c r="A22" s="471">
        <v>14</v>
      </c>
      <c r="B22" s="393" t="s">
        <v>245</v>
      </c>
      <c r="C22" s="472">
        <v>53730.43</v>
      </c>
      <c r="D22" s="375">
        <v>6196.1103000000003</v>
      </c>
      <c r="E22" s="375">
        <v>8137.3701000000001</v>
      </c>
      <c r="F22" s="375">
        <v>10281.4349</v>
      </c>
      <c r="G22" s="375">
        <v>10081</v>
      </c>
      <c r="H22" s="381" t="s">
        <v>246</v>
      </c>
      <c r="I22" s="375">
        <v>16710</v>
      </c>
      <c r="J22" s="396" t="s">
        <v>246</v>
      </c>
      <c r="K22" s="382">
        <f t="shared" si="10"/>
        <v>51405.915300000001</v>
      </c>
      <c r="L22" s="383">
        <f t="shared" si="11"/>
        <v>5858.8588338000354</v>
      </c>
      <c r="M22" s="383">
        <f t="shared" si="12"/>
        <v>7080.9203277473571</v>
      </c>
      <c r="N22" s="383">
        <f t="shared" si="13"/>
        <v>8443.03982584189</v>
      </c>
      <c r="O22" s="383">
        <f t="shared" si="14"/>
        <v>7631.2687595175103</v>
      </c>
      <c r="P22" s="383">
        <f t="shared" si="15"/>
        <v>11713.069942457221</v>
      </c>
      <c r="Q22" s="384">
        <f t="shared" si="16"/>
        <v>40727.157689364016</v>
      </c>
      <c r="R22" s="385">
        <f t="shared" si="7"/>
        <v>75.799054073016009</v>
      </c>
    </row>
    <row r="23" spans="1:18" ht="15.75" customHeight="1">
      <c r="A23" s="471">
        <v>15</v>
      </c>
      <c r="B23" s="393" t="s">
        <v>30</v>
      </c>
      <c r="C23" s="472">
        <v>8485</v>
      </c>
      <c r="D23" s="375">
        <v>1224.4957999999999</v>
      </c>
      <c r="E23" s="375">
        <v>1574.4989</v>
      </c>
      <c r="F23" s="375">
        <v>1965.5699</v>
      </c>
      <c r="G23" s="375">
        <v>2107.4</v>
      </c>
      <c r="H23" s="381"/>
      <c r="I23" s="375">
        <v>3320</v>
      </c>
      <c r="J23" s="396" t="s">
        <v>246</v>
      </c>
      <c r="K23" s="382">
        <f t="shared" si="10"/>
        <v>10191.964599999999</v>
      </c>
      <c r="L23" s="383">
        <f t="shared" si="11"/>
        <v>1157.8470503956394</v>
      </c>
      <c r="M23" s="383">
        <f t="shared" si="12"/>
        <v>1370.0865427057142</v>
      </c>
      <c r="N23" s="383">
        <f t="shared" si="13"/>
        <v>1614.11175653858</v>
      </c>
      <c r="O23" s="383">
        <f t="shared" si="14"/>
        <v>1595.2917154852894</v>
      </c>
      <c r="P23" s="383">
        <f t="shared" si="15"/>
        <v>2327.1928311764195</v>
      </c>
      <c r="Q23" s="384">
        <f t="shared" si="16"/>
        <v>8064.529896301643</v>
      </c>
      <c r="R23" s="385">
        <f t="shared" si="7"/>
        <v>95.044547982341115</v>
      </c>
    </row>
    <row r="24" spans="1:18" ht="14.25" customHeight="1">
      <c r="A24" s="471">
        <v>16</v>
      </c>
      <c r="B24" s="393" t="s">
        <v>31</v>
      </c>
      <c r="C24" s="472">
        <v>106918</v>
      </c>
      <c r="D24" s="375">
        <v>15651.473</v>
      </c>
      <c r="E24" s="375">
        <v>21763.68</v>
      </c>
      <c r="F24" s="375">
        <v>22633.825000000001</v>
      </c>
      <c r="G24" s="375">
        <v>30097.05</v>
      </c>
      <c r="H24" s="381"/>
      <c r="I24" s="375">
        <v>38000</v>
      </c>
      <c r="J24" s="396" t="s">
        <v>246</v>
      </c>
      <c r="K24" s="382">
        <f t="shared" si="10"/>
        <v>128146.02800000001</v>
      </c>
      <c r="L24" s="383">
        <f t="shared" si="11"/>
        <v>14799.570441480477</v>
      </c>
      <c r="M24" s="383">
        <f t="shared" si="12"/>
        <v>18938.16825642336</v>
      </c>
      <c r="N24" s="383">
        <f t="shared" si="13"/>
        <v>18586.733052809177</v>
      </c>
      <c r="O24" s="383">
        <f t="shared" si="14"/>
        <v>22783.322826965232</v>
      </c>
      <c r="P24" s="383">
        <f t="shared" si="15"/>
        <v>26636.54445322408</v>
      </c>
      <c r="Q24" s="384">
        <f t="shared" si="16"/>
        <v>101744.33903090232</v>
      </c>
      <c r="R24" s="385">
        <f t="shared" si="7"/>
        <v>95.161094512525793</v>
      </c>
    </row>
    <row r="25" spans="1:18" ht="20.100000000000001" customHeight="1">
      <c r="A25" s="471">
        <v>17</v>
      </c>
      <c r="B25" s="393" t="s">
        <v>32</v>
      </c>
      <c r="C25" s="472">
        <v>33374</v>
      </c>
      <c r="D25" s="375">
        <v>5751.1848</v>
      </c>
      <c r="E25" s="375">
        <v>7108.2808999999997</v>
      </c>
      <c r="F25" s="375">
        <v>9624.4393</v>
      </c>
      <c r="G25" s="375">
        <v>15497.17</v>
      </c>
      <c r="H25" s="381"/>
      <c r="I25" s="375">
        <v>20330</v>
      </c>
      <c r="J25" s="396"/>
      <c r="K25" s="382">
        <f t="shared" si="10"/>
        <v>58311.074999999997</v>
      </c>
      <c r="L25" s="383">
        <f t="shared" si="11"/>
        <v>5438.1504264532678</v>
      </c>
      <c r="M25" s="383">
        <f t="shared" si="12"/>
        <v>6185.4346185075538</v>
      </c>
      <c r="N25" s="383">
        <f t="shared" si="13"/>
        <v>7903.51980065524</v>
      </c>
      <c r="O25" s="383">
        <f t="shared" si="14"/>
        <v>11731.28353158734</v>
      </c>
      <c r="P25" s="383">
        <f t="shared" si="15"/>
        <v>14250.551282474884</v>
      </c>
      <c r="Q25" s="384">
        <f t="shared" si="16"/>
        <v>45508.93965967829</v>
      </c>
      <c r="R25" s="385">
        <f t="shared" si="7"/>
        <v>136.36045921878795</v>
      </c>
    </row>
    <row r="26" spans="1:18" ht="20.100000000000001" customHeight="1">
      <c r="A26" s="471">
        <v>18</v>
      </c>
      <c r="B26" s="393" t="s">
        <v>33</v>
      </c>
      <c r="C26" s="472">
        <v>40240</v>
      </c>
      <c r="D26" s="375">
        <v>5706.35</v>
      </c>
      <c r="E26" s="375">
        <v>6866.1660999999995</v>
      </c>
      <c r="F26" s="375">
        <v>6528.88</v>
      </c>
      <c r="G26" s="375">
        <v>8267.59</v>
      </c>
      <c r="H26" s="381"/>
      <c r="I26" s="375">
        <v>12232.75</v>
      </c>
      <c r="J26" s="396"/>
      <c r="K26" s="382">
        <f t="shared" si="10"/>
        <v>39601.736100000002</v>
      </c>
      <c r="L26" s="383">
        <f t="shared" si="11"/>
        <v>5395.7559642304677</v>
      </c>
      <c r="M26" s="383">
        <f t="shared" si="12"/>
        <v>5974.7528395174977</v>
      </c>
      <c r="N26" s="383">
        <f t="shared" si="13"/>
        <v>5361.4689383621535</v>
      </c>
      <c r="O26" s="383">
        <f t="shared" si="14"/>
        <v>6258.5260672055729</v>
      </c>
      <c r="P26" s="383">
        <f t="shared" si="15"/>
        <v>8574.6891884257075</v>
      </c>
      <c r="Q26" s="384">
        <f t="shared" si="16"/>
        <v>31565.192997741397</v>
      </c>
      <c r="R26" s="385">
        <f t="shared" si="7"/>
        <v>78.442328523214215</v>
      </c>
    </row>
    <row r="27" spans="1:18" ht="20.100000000000001" customHeight="1">
      <c r="A27" s="471">
        <v>19</v>
      </c>
      <c r="B27" s="393" t="s">
        <v>34</v>
      </c>
      <c r="C27" s="472">
        <v>101664</v>
      </c>
      <c r="D27" s="375">
        <v>17226.915199999999</v>
      </c>
      <c r="E27" s="375">
        <v>22118.210099999997</v>
      </c>
      <c r="F27" s="375">
        <v>25966.995099999996</v>
      </c>
      <c r="G27" s="375">
        <v>31050</v>
      </c>
      <c r="H27" s="381"/>
      <c r="I27" s="375">
        <v>38070</v>
      </c>
      <c r="J27" s="396" t="s">
        <v>246</v>
      </c>
      <c r="K27" s="382">
        <f t="shared" si="10"/>
        <v>134432.12040000001</v>
      </c>
      <c r="L27" s="383">
        <f t="shared" si="11"/>
        <v>16289.262038902712</v>
      </c>
      <c r="M27" s="383">
        <f t="shared" si="12"/>
        <v>19246.67080221371</v>
      </c>
      <c r="N27" s="383">
        <f t="shared" si="13"/>
        <v>21323.908181993269</v>
      </c>
      <c r="O27" s="383">
        <f t="shared" si="14"/>
        <v>23504.701416825585</v>
      </c>
      <c r="P27" s="383">
        <f t="shared" si="15"/>
        <v>26685.611771953703</v>
      </c>
      <c r="Q27" s="384">
        <f t="shared" si="16"/>
        <v>107050.15421188898</v>
      </c>
      <c r="R27" s="385">
        <f t="shared" si="7"/>
        <v>105.29799556567612</v>
      </c>
    </row>
    <row r="28" spans="1:18" ht="20.100000000000001" customHeight="1">
      <c r="A28" s="471">
        <v>20</v>
      </c>
      <c r="B28" s="393" t="s">
        <v>35</v>
      </c>
      <c r="C28" s="472">
        <v>41940</v>
      </c>
      <c r="D28" s="375">
        <v>5085.4515999999994</v>
      </c>
      <c r="E28" s="375">
        <v>6236.8112000000001</v>
      </c>
      <c r="F28" s="375">
        <v>7774.0793000000003</v>
      </c>
      <c r="G28" s="375">
        <v>8700.98</v>
      </c>
      <c r="H28" s="381"/>
      <c r="I28" s="375">
        <v>12010</v>
      </c>
      <c r="J28" s="396" t="s">
        <v>246</v>
      </c>
      <c r="K28" s="382">
        <f t="shared" si="10"/>
        <v>39807.322100000005</v>
      </c>
      <c r="L28" s="383">
        <f t="shared" si="11"/>
        <v>4808.652781814184</v>
      </c>
      <c r="M28" s="383">
        <f t="shared" si="12"/>
        <v>5427.1051535928527</v>
      </c>
      <c r="N28" s="383">
        <f t="shared" si="13"/>
        <v>6384.0175790203211</v>
      </c>
      <c r="O28" s="383">
        <f t="shared" si="14"/>
        <v>6586.600223309857</v>
      </c>
      <c r="P28" s="383">
        <f t="shared" si="15"/>
        <v>8418.5499706110841</v>
      </c>
      <c r="Q28" s="384">
        <f t="shared" si="16"/>
        <v>31624.925708348303</v>
      </c>
      <c r="R28" s="385">
        <f t="shared" si="7"/>
        <v>75.405163825341674</v>
      </c>
    </row>
    <row r="29" spans="1:18" ht="20.100000000000001" customHeight="1">
      <c r="A29" s="471">
        <v>21</v>
      </c>
      <c r="B29" s="393" t="s">
        <v>36</v>
      </c>
      <c r="C29" s="472">
        <v>70329</v>
      </c>
      <c r="D29" s="375">
        <v>12047.436000000002</v>
      </c>
      <c r="E29" s="375">
        <v>13081.021299999999</v>
      </c>
      <c r="F29" s="375">
        <v>14609.9995</v>
      </c>
      <c r="G29" s="375">
        <v>20156.84</v>
      </c>
      <c r="H29" s="381"/>
      <c r="I29" s="375">
        <v>23000</v>
      </c>
      <c r="J29" s="396" t="s">
        <v>246</v>
      </c>
      <c r="K29" s="382">
        <f t="shared" si="10"/>
        <v>82895.296799999996</v>
      </c>
      <c r="L29" s="383">
        <f t="shared" si="11"/>
        <v>11391.699536601303</v>
      </c>
      <c r="M29" s="383">
        <f t="shared" si="12"/>
        <v>11382.752473168959</v>
      </c>
      <c r="N29" s="383">
        <f t="shared" si="13"/>
        <v>11997.625704368374</v>
      </c>
      <c r="O29" s="383">
        <f t="shared" si="14"/>
        <v>15258.631423727105</v>
      </c>
      <c r="P29" s="383">
        <f t="shared" si="15"/>
        <v>16122.119011161943</v>
      </c>
      <c r="Q29" s="384">
        <f t="shared" si="16"/>
        <v>66152.828149027686</v>
      </c>
      <c r="R29" s="385">
        <f t="shared" si="7"/>
        <v>94.061949052350641</v>
      </c>
    </row>
    <row r="30" spans="1:18" ht="20.100000000000001" customHeight="1">
      <c r="A30" s="471">
        <v>22</v>
      </c>
      <c r="B30" s="393" t="s">
        <v>37</v>
      </c>
      <c r="C30" s="472">
        <v>127538</v>
      </c>
      <c r="D30" s="375">
        <v>19422.21</v>
      </c>
      <c r="E30" s="375">
        <v>22870.28</v>
      </c>
      <c r="F30" s="375">
        <v>27730.59</v>
      </c>
      <c r="G30" s="375">
        <v>32576.78</v>
      </c>
      <c r="H30" s="381"/>
      <c r="I30" s="375">
        <v>42000</v>
      </c>
      <c r="J30" s="396" t="s">
        <v>246</v>
      </c>
      <c r="K30" s="382">
        <f t="shared" si="10"/>
        <v>144599.85999999999</v>
      </c>
      <c r="L30" s="383">
        <f t="shared" si="11"/>
        <v>18365.067941159694</v>
      </c>
      <c r="M30" s="383">
        <f t="shared" si="12"/>
        <v>19901.101776515461</v>
      </c>
      <c r="N30" s="383">
        <f t="shared" si="13"/>
        <v>22772.159532332673</v>
      </c>
      <c r="O30" s="383">
        <f t="shared" si="14"/>
        <v>24660.466570744455</v>
      </c>
      <c r="P30" s="383">
        <f t="shared" si="15"/>
        <v>29440.391237773983</v>
      </c>
      <c r="Q30" s="384">
        <f t="shared" si="16"/>
        <v>115139.18705852627</v>
      </c>
      <c r="R30" s="385">
        <f t="shared" si="7"/>
        <v>90.278338266654856</v>
      </c>
    </row>
    <row r="31" spans="1:18" ht="17.25" customHeight="1">
      <c r="A31" s="471">
        <v>23</v>
      </c>
      <c r="B31" s="393" t="s">
        <v>104</v>
      </c>
      <c r="C31" s="472">
        <v>32225</v>
      </c>
      <c r="D31" s="375">
        <v>6032.8143000000009</v>
      </c>
      <c r="E31" s="375">
        <v>7572.201</v>
      </c>
      <c r="F31" s="375">
        <v>7727.740600000001</v>
      </c>
      <c r="G31" s="375">
        <v>10105.67</v>
      </c>
      <c r="H31" s="381"/>
      <c r="I31" s="375">
        <v>12300</v>
      </c>
      <c r="J31" s="396"/>
      <c r="K31" s="382">
        <f t="shared" si="10"/>
        <v>43738.425900000002</v>
      </c>
      <c r="L31" s="383">
        <f t="shared" si="11"/>
        <v>5704.450960827824</v>
      </c>
      <c r="M31" s="383">
        <f t="shared" si="12"/>
        <v>6589.1253965072647</v>
      </c>
      <c r="N31" s="383">
        <f t="shared" si="13"/>
        <v>6345.9645744170693</v>
      </c>
      <c r="O31" s="383">
        <f t="shared" si="14"/>
        <v>7649.9438314644703</v>
      </c>
      <c r="P31" s="383">
        <f t="shared" si="15"/>
        <v>8621.8288624909528</v>
      </c>
      <c r="Q31" s="384">
        <f t="shared" si="16"/>
        <v>34911.313625707582</v>
      </c>
      <c r="R31" s="385">
        <f t="shared" si="7"/>
        <v>108.33611675937188</v>
      </c>
    </row>
    <row r="32" spans="1:18" ht="20.100000000000001" customHeight="1">
      <c r="A32" s="471">
        <v>24</v>
      </c>
      <c r="B32" s="393" t="s">
        <v>39</v>
      </c>
      <c r="C32" s="472">
        <v>28923</v>
      </c>
      <c r="D32" s="375">
        <v>5024.0942999999997</v>
      </c>
      <c r="E32" s="375">
        <v>6925.0986999999996</v>
      </c>
      <c r="F32" s="375">
        <v>4973.7771999999995</v>
      </c>
      <c r="G32" s="375">
        <v>8324.3700000000008</v>
      </c>
      <c r="H32" s="381"/>
      <c r="I32" s="375">
        <v>11520</v>
      </c>
      <c r="J32" s="396" t="s">
        <v>246</v>
      </c>
      <c r="K32" s="382">
        <f t="shared" si="10"/>
        <v>36767.340199999999</v>
      </c>
      <c r="L32" s="383">
        <f t="shared" si="11"/>
        <v>4750.6351317534491</v>
      </c>
      <c r="M32" s="383">
        <f t="shared" si="12"/>
        <v>6026.0344010267872</v>
      </c>
      <c r="N32" s="383">
        <f t="shared" si="13"/>
        <v>4084.4297895096679</v>
      </c>
      <c r="O32" s="383">
        <f t="shared" si="14"/>
        <v>6301.5082554969531</v>
      </c>
      <c r="P32" s="383">
        <f t="shared" si="15"/>
        <v>8075.0787395037214</v>
      </c>
      <c r="Q32" s="384">
        <f t="shared" si="16"/>
        <v>29237.68631729058</v>
      </c>
      <c r="R32" s="385">
        <f t="shared" si="7"/>
        <v>101.08801409705279</v>
      </c>
    </row>
    <row r="33" spans="1:18" ht="20.100000000000001" customHeight="1">
      <c r="A33" s="471">
        <v>25</v>
      </c>
      <c r="B33" s="393" t="s">
        <v>40</v>
      </c>
      <c r="C33" s="472">
        <v>71732</v>
      </c>
      <c r="D33" s="375">
        <v>13794.686299999999</v>
      </c>
      <c r="E33" s="375">
        <v>14923.348</v>
      </c>
      <c r="F33" s="375">
        <v>18022.685400000002</v>
      </c>
      <c r="G33" s="375">
        <v>21540.28</v>
      </c>
      <c r="H33" s="381"/>
      <c r="I33" s="375">
        <v>27500</v>
      </c>
      <c r="J33" s="396" t="s">
        <v>246</v>
      </c>
      <c r="K33" s="382">
        <f t="shared" si="10"/>
        <v>95780.9997</v>
      </c>
      <c r="L33" s="383">
        <f t="shared" si="11"/>
        <v>13043.847797263279</v>
      </c>
      <c r="M33" s="383">
        <f t="shared" si="12"/>
        <v>12985.895555032928</v>
      </c>
      <c r="N33" s="383">
        <f t="shared" si="13"/>
        <v>14800.098632226827</v>
      </c>
      <c r="O33" s="383">
        <f t="shared" si="14"/>
        <v>16305.888883569074</v>
      </c>
      <c r="P33" s="383">
        <f t="shared" si="15"/>
        <v>19276.446643780586</v>
      </c>
      <c r="Q33" s="384">
        <f t="shared" si="16"/>
        <v>76412.177511872695</v>
      </c>
      <c r="R33" s="385">
        <f t="shared" si="7"/>
        <v>106.52453230339694</v>
      </c>
    </row>
    <row r="34" spans="1:18" ht="15" customHeight="1">
      <c r="A34" s="471">
        <v>26</v>
      </c>
      <c r="B34" s="393" t="s">
        <v>41</v>
      </c>
      <c r="C34" s="472">
        <v>85344</v>
      </c>
      <c r="D34" s="375">
        <v>14224.3156</v>
      </c>
      <c r="E34" s="375">
        <v>16246.053300000001</v>
      </c>
      <c r="F34" s="375">
        <v>17833.5</v>
      </c>
      <c r="G34" s="375">
        <v>20464.77</v>
      </c>
      <c r="H34" s="381"/>
      <c r="I34" s="375">
        <v>23535</v>
      </c>
      <c r="J34" s="396"/>
      <c r="K34" s="382">
        <f t="shared" si="10"/>
        <v>92303.638900000005</v>
      </c>
      <c r="L34" s="383">
        <f t="shared" si="11"/>
        <v>13450.092569820721</v>
      </c>
      <c r="M34" s="383">
        <f t="shared" si="12"/>
        <v>14136.878087631412</v>
      </c>
      <c r="N34" s="383">
        <f t="shared" si="13"/>
        <v>14644.740952855844</v>
      </c>
      <c r="O34" s="383">
        <f t="shared" si="14"/>
        <v>15491.732960193549</v>
      </c>
      <c r="P34" s="383">
        <f t="shared" si="15"/>
        <v>16497.133518595492</v>
      </c>
      <c r="Q34" s="384">
        <f t="shared" si="16"/>
        <v>74220.57808909702</v>
      </c>
      <c r="R34" s="385">
        <f t="shared" si="7"/>
        <v>86.966369152016568</v>
      </c>
    </row>
    <row r="35" spans="1:18" ht="20.100000000000001" customHeight="1">
      <c r="A35" s="471">
        <v>27</v>
      </c>
      <c r="B35" s="393" t="s">
        <v>42</v>
      </c>
      <c r="C35" s="472">
        <v>181094</v>
      </c>
      <c r="D35" s="375">
        <v>24296.526699999999</v>
      </c>
      <c r="E35" s="375">
        <v>34287.620600000002</v>
      </c>
      <c r="F35" s="375">
        <v>37211.511099999996</v>
      </c>
      <c r="G35" s="375">
        <v>41300.699999999997</v>
      </c>
      <c r="H35" s="381"/>
      <c r="I35" s="375">
        <v>42365.31</v>
      </c>
      <c r="J35" s="396"/>
      <c r="K35" s="382">
        <f t="shared" si="10"/>
        <v>179461.66839999997</v>
      </c>
      <c r="L35" s="383">
        <f t="shared" si="11"/>
        <v>22974.077799575873</v>
      </c>
      <c r="M35" s="383">
        <f t="shared" si="12"/>
        <v>29836.164106217686</v>
      </c>
      <c r="N35" s="383">
        <f t="shared" si="13"/>
        <v>30557.823227286834</v>
      </c>
      <c r="O35" s="383">
        <f t="shared" si="14"/>
        <v>31264.432264279818</v>
      </c>
      <c r="P35" s="383">
        <f t="shared" si="15"/>
        <v>29696.459554989964</v>
      </c>
      <c r="Q35" s="384">
        <f t="shared" si="16"/>
        <v>144328.95695235019</v>
      </c>
      <c r="R35" s="385">
        <f t="shared" si="7"/>
        <v>79.698364911234037</v>
      </c>
    </row>
    <row r="36" spans="1:18" ht="16.5" customHeight="1">
      <c r="A36" s="471">
        <v>28</v>
      </c>
      <c r="B36" s="393" t="s">
        <v>43</v>
      </c>
      <c r="C36" s="472">
        <v>63779</v>
      </c>
      <c r="D36" s="375">
        <v>8857.8644999999997</v>
      </c>
      <c r="E36" s="375">
        <v>10396.9</v>
      </c>
      <c r="F36" s="375">
        <v>12121.5445</v>
      </c>
      <c r="G36" s="375">
        <v>11874.48</v>
      </c>
      <c r="H36" s="381"/>
      <c r="I36" s="375">
        <v>22214</v>
      </c>
      <c r="J36" s="396" t="s">
        <v>246</v>
      </c>
      <c r="K36" s="382">
        <f t="shared" si="10"/>
        <v>65464.788999999997</v>
      </c>
      <c r="L36" s="383">
        <f t="shared" si="11"/>
        <v>8375.734963018449</v>
      </c>
      <c r="M36" s="383">
        <f t="shared" si="12"/>
        <v>9047.1023992821083</v>
      </c>
      <c r="N36" s="383">
        <f t="shared" si="13"/>
        <v>9954.1244932859227</v>
      </c>
      <c r="O36" s="383">
        <f t="shared" si="14"/>
        <v>8988.924537200226</v>
      </c>
      <c r="P36" s="383">
        <f t="shared" si="15"/>
        <v>15571.163117997889</v>
      </c>
      <c r="Q36" s="384">
        <f t="shared" si="16"/>
        <v>51937.049510784593</v>
      </c>
      <c r="R36" s="385">
        <f t="shared" si="7"/>
        <v>81.43283762803523</v>
      </c>
    </row>
    <row r="37" spans="1:18" s="357" customFormat="1" ht="16.5" customHeight="1">
      <c r="A37" s="356"/>
      <c r="B37" s="393" t="s">
        <v>260</v>
      </c>
      <c r="C37" s="376">
        <f t="shared" ref="C37:Q37" si="17">SUM(C20:C36)</f>
        <v>1255341.43</v>
      </c>
      <c r="D37" s="377">
        <f t="shared" si="17"/>
        <v>197365.02849999999</v>
      </c>
      <c r="E37" s="377">
        <f t="shared" si="17"/>
        <v>243235.99339999998</v>
      </c>
      <c r="F37" s="377">
        <f t="shared" si="17"/>
        <v>268581.05070000002</v>
      </c>
      <c r="G37" s="377">
        <f t="shared" si="17"/>
        <v>323111.37</v>
      </c>
      <c r="H37" s="377">
        <f t="shared" si="17"/>
        <v>0</v>
      </c>
      <c r="I37" s="377">
        <f t="shared" si="17"/>
        <v>409497.06</v>
      </c>
      <c r="J37" s="399"/>
      <c r="K37" s="378">
        <f t="shared" si="17"/>
        <v>1441790.5026</v>
      </c>
      <c r="L37" s="377">
        <f t="shared" si="17"/>
        <v>186622.53974246079</v>
      </c>
      <c r="M37" s="377">
        <f t="shared" si="17"/>
        <v>211657.41129383829</v>
      </c>
      <c r="N37" s="377">
        <f t="shared" si="17"/>
        <v>220556.81231095083</v>
      </c>
      <c r="O37" s="377">
        <f t="shared" si="17"/>
        <v>244593.76090922559</v>
      </c>
      <c r="P37" s="377">
        <f t="shared" si="17"/>
        <v>287041.75374090968</v>
      </c>
      <c r="Q37" s="379">
        <f t="shared" si="17"/>
        <v>1150472.2779973852</v>
      </c>
      <c r="R37" s="385">
        <f t="shared" si="7"/>
        <v>91.646164979784444</v>
      </c>
    </row>
    <row r="38" spans="1:18" ht="20.25" customHeight="1">
      <c r="A38" s="358"/>
      <c r="B38" s="393" t="s">
        <v>247</v>
      </c>
      <c r="C38" s="376">
        <f>+C18+C37</f>
        <v>1412029.43</v>
      </c>
      <c r="D38" s="377">
        <f>+D18+D37</f>
        <v>217173.27839999998</v>
      </c>
      <c r="E38" s="377">
        <f t="shared" ref="E38:K38" si="18">+E18+E37</f>
        <v>266735.05979999999</v>
      </c>
      <c r="F38" s="377">
        <f t="shared" si="18"/>
        <v>295673.86554000003</v>
      </c>
      <c r="G38" s="377">
        <f t="shared" si="18"/>
        <v>354436.42</v>
      </c>
      <c r="H38" s="377">
        <f t="shared" si="18"/>
        <v>0</v>
      </c>
      <c r="I38" s="377">
        <f t="shared" si="18"/>
        <v>451228.46</v>
      </c>
      <c r="J38" s="399"/>
      <c r="K38" s="378">
        <f t="shared" si="18"/>
        <v>1585247.0837399999</v>
      </c>
      <c r="L38" s="377">
        <f t="shared" ref="L38:Q38" si="19">+L18+L37</f>
        <v>205352.63560739942</v>
      </c>
      <c r="M38" s="377">
        <f t="shared" si="19"/>
        <v>232105.66606288767</v>
      </c>
      <c r="N38" s="377">
        <f t="shared" si="19"/>
        <v>242805.23550412594</v>
      </c>
      <c r="O38" s="377">
        <f t="shared" si="19"/>
        <v>268306.67385985784</v>
      </c>
      <c r="P38" s="377">
        <f t="shared" si="19"/>
        <v>316293.86666710116</v>
      </c>
      <c r="Q38" s="379">
        <f t="shared" si="19"/>
        <v>1264864.0777013721</v>
      </c>
      <c r="R38" s="385">
        <f t="shared" si="7"/>
        <v>89.577741853537148</v>
      </c>
    </row>
    <row r="39" spans="1:18" ht="15.75" customHeight="1">
      <c r="A39" s="358"/>
      <c r="B39" s="509" t="s">
        <v>263</v>
      </c>
      <c r="C39" s="510"/>
      <c r="D39" s="511"/>
      <c r="E39" s="377"/>
      <c r="F39" s="377"/>
      <c r="G39" s="377"/>
      <c r="H39" s="381"/>
      <c r="I39" s="377"/>
      <c r="J39" s="396"/>
      <c r="K39" s="382"/>
      <c r="L39" s="377"/>
      <c r="M39" s="377"/>
      <c r="N39" s="377"/>
      <c r="O39" s="377"/>
      <c r="P39" s="377"/>
      <c r="Q39" s="384"/>
      <c r="R39" s="385"/>
    </row>
    <row r="40" spans="1:18" ht="15" customHeight="1">
      <c r="A40" s="471">
        <v>29</v>
      </c>
      <c r="B40" s="393" t="s">
        <v>248</v>
      </c>
      <c r="C40" s="472">
        <v>4100</v>
      </c>
      <c r="D40" s="375">
        <v>607.27639999999997</v>
      </c>
      <c r="E40" s="375">
        <v>694.45910000000003</v>
      </c>
      <c r="F40" s="375">
        <v>882.26419999999996</v>
      </c>
      <c r="G40" s="375">
        <v>849.83</v>
      </c>
      <c r="H40" s="381"/>
      <c r="I40" s="375">
        <v>1434.84</v>
      </c>
      <c r="J40" s="396" t="s">
        <v>246</v>
      </c>
      <c r="K40" s="382">
        <f t="shared" ref="K40:K46" si="20">+D40+E40+F40+G40+I40</f>
        <v>4468.6696999999995</v>
      </c>
      <c r="L40" s="383">
        <f t="shared" ref="L40:L46" si="21">+D40/$D$52</f>
        <v>574.22262168223233</v>
      </c>
      <c r="M40" s="383">
        <f t="shared" ref="M40:M46" si="22">+E40/$E$52</f>
        <v>604.29960755737716</v>
      </c>
      <c r="N40" s="383">
        <f t="shared" ref="N40:N46" si="23">+F40/$F$52</f>
        <v>724.5089668869598</v>
      </c>
      <c r="O40" s="383">
        <f t="shared" ref="O40:O46" si="24">+G40/$G$52</f>
        <v>643.31724331919122</v>
      </c>
      <c r="P40" s="383">
        <f t="shared" ref="P40:P46" si="25">+I40/$I$52</f>
        <v>1005.7678800858957</v>
      </c>
      <c r="Q40" s="384">
        <f t="shared" ref="Q40:Q46" si="26">+L40+M40+N40+O40+P40</f>
        <v>3552.1163195316562</v>
      </c>
      <c r="R40" s="385">
        <f t="shared" si="7"/>
        <v>86.636983403211133</v>
      </c>
    </row>
    <row r="41" spans="1:18" ht="16.5" customHeight="1">
      <c r="A41" s="471">
        <v>30</v>
      </c>
      <c r="B41" s="393" t="s">
        <v>250</v>
      </c>
      <c r="C41" s="472">
        <v>2132</v>
      </c>
      <c r="D41" s="375">
        <v>317.20639999999997</v>
      </c>
      <c r="E41" s="375">
        <v>488.53879999999998</v>
      </c>
      <c r="F41" s="375">
        <v>449.1336</v>
      </c>
      <c r="G41" s="375">
        <v>461.31</v>
      </c>
      <c r="H41" s="381"/>
      <c r="I41" s="375">
        <v>661.89</v>
      </c>
      <c r="J41" s="396"/>
      <c r="K41" s="382">
        <f t="shared" si="20"/>
        <v>2378.0787999999998</v>
      </c>
      <c r="L41" s="383">
        <f t="shared" si="21"/>
        <v>299.94099988470305</v>
      </c>
      <c r="M41" s="383">
        <f t="shared" si="22"/>
        <v>425.11330777658748</v>
      </c>
      <c r="N41" s="383">
        <f t="shared" si="23"/>
        <v>368.82525725312337</v>
      </c>
      <c r="O41" s="383">
        <f t="shared" si="24"/>
        <v>349.2094624990599</v>
      </c>
      <c r="P41" s="383">
        <f t="shared" si="25"/>
        <v>463.95953705643387</v>
      </c>
      <c r="Q41" s="384">
        <f t="shared" si="26"/>
        <v>1907.0485644699079</v>
      </c>
      <c r="R41" s="385">
        <f t="shared" si="7"/>
        <v>89.448806963879363</v>
      </c>
    </row>
    <row r="42" spans="1:18" ht="15" customHeight="1">
      <c r="A42" s="471">
        <v>31</v>
      </c>
      <c r="B42" s="393" t="s">
        <v>251</v>
      </c>
      <c r="C42" s="472">
        <v>1300</v>
      </c>
      <c r="D42" s="375">
        <v>99.981200000000001</v>
      </c>
      <c r="E42" s="375">
        <v>111.00209999999998</v>
      </c>
      <c r="F42" s="375">
        <v>188.6387</v>
      </c>
      <c r="G42" s="375">
        <v>256.95</v>
      </c>
      <c r="H42" s="381"/>
      <c r="I42" s="375">
        <v>336.35</v>
      </c>
      <c r="J42" s="396" t="s">
        <v>246</v>
      </c>
      <c r="K42" s="382">
        <f t="shared" si="20"/>
        <v>992.92199999999991</v>
      </c>
      <c r="L42" s="383">
        <f t="shared" si="21"/>
        <v>94.539268746382405</v>
      </c>
      <c r="M42" s="383">
        <f t="shared" si="22"/>
        <v>96.591038216713869</v>
      </c>
      <c r="N42" s="383">
        <f t="shared" si="23"/>
        <v>154.90873329315545</v>
      </c>
      <c r="O42" s="383">
        <f t="shared" si="24"/>
        <v>194.50992042039721</v>
      </c>
      <c r="P42" s="383">
        <f t="shared" si="25"/>
        <v>235.76846649584002</v>
      </c>
      <c r="Q42" s="384">
        <f t="shared" si="26"/>
        <v>776.31742717248892</v>
      </c>
      <c r="R42" s="385">
        <f t="shared" si="7"/>
        <v>59.716725167114539</v>
      </c>
    </row>
    <row r="43" spans="1:18" ht="16.5" customHeight="1">
      <c r="A43" s="471">
        <v>32</v>
      </c>
      <c r="B43" s="393" t="s">
        <v>252</v>
      </c>
      <c r="C43" s="472">
        <v>900</v>
      </c>
      <c r="D43" s="375">
        <v>87.7423</v>
      </c>
      <c r="E43" s="375">
        <v>104.72129999999999</v>
      </c>
      <c r="F43" s="375">
        <v>164.96560000000002</v>
      </c>
      <c r="G43" s="375">
        <v>166.66</v>
      </c>
      <c r="H43" s="381"/>
      <c r="I43" s="375">
        <v>326.62</v>
      </c>
      <c r="J43" s="396" t="s">
        <v>246</v>
      </c>
      <c r="K43" s="382">
        <f t="shared" si="20"/>
        <v>850.70920000000001</v>
      </c>
      <c r="L43" s="383">
        <f t="shared" si="21"/>
        <v>82.966526508240634</v>
      </c>
      <c r="M43" s="383">
        <f t="shared" si="22"/>
        <v>91.1256551939464</v>
      </c>
      <c r="N43" s="383">
        <f t="shared" si="23"/>
        <v>135.468555142425</v>
      </c>
      <c r="O43" s="383">
        <f t="shared" si="24"/>
        <v>126.16082248399844</v>
      </c>
      <c r="P43" s="383">
        <f t="shared" si="25"/>
        <v>228.94810919242235</v>
      </c>
      <c r="Q43" s="384">
        <f t="shared" si="26"/>
        <v>664.66966852103292</v>
      </c>
      <c r="R43" s="385">
        <f t="shared" si="7"/>
        <v>73.852185391225873</v>
      </c>
    </row>
    <row r="44" spans="1:18" ht="18.75" customHeight="1">
      <c r="A44" s="471">
        <v>33</v>
      </c>
      <c r="B44" s="393" t="s">
        <v>253</v>
      </c>
      <c r="C44" s="472">
        <v>54799.15</v>
      </c>
      <c r="D44" s="375">
        <v>8747.427099999999</v>
      </c>
      <c r="E44" s="375">
        <v>9619.5153000000009</v>
      </c>
      <c r="F44" s="375">
        <v>11048.1445</v>
      </c>
      <c r="G44" s="375">
        <v>10490.81</v>
      </c>
      <c r="H44" s="381"/>
      <c r="I44" s="375">
        <v>15133</v>
      </c>
      <c r="J44" s="396" t="s">
        <v>246</v>
      </c>
      <c r="K44" s="382">
        <f t="shared" si="20"/>
        <v>55038.8969</v>
      </c>
      <c r="L44" s="383">
        <f t="shared" si="21"/>
        <v>8271.3086204835345</v>
      </c>
      <c r="M44" s="383">
        <f t="shared" si="22"/>
        <v>8370.6431677289347</v>
      </c>
      <c r="N44" s="383">
        <f t="shared" si="23"/>
        <v>9072.6561926833801</v>
      </c>
      <c r="O44" s="383">
        <f t="shared" si="24"/>
        <v>7941.4929684588724</v>
      </c>
      <c r="P44" s="383">
        <f t="shared" si="25"/>
        <v>10607.653347648422</v>
      </c>
      <c r="Q44" s="384">
        <f t="shared" si="26"/>
        <v>44263.75429700315</v>
      </c>
      <c r="R44" s="385">
        <f t="shared" si="7"/>
        <v>80.774527154167814</v>
      </c>
    </row>
    <row r="45" spans="1:18" ht="19.5" customHeight="1">
      <c r="A45" s="471">
        <v>34</v>
      </c>
      <c r="B45" s="393" t="s">
        <v>254</v>
      </c>
      <c r="C45" s="472">
        <v>2100</v>
      </c>
      <c r="D45" s="375">
        <v>219.6148</v>
      </c>
      <c r="E45" s="375">
        <v>268.75650000000002</v>
      </c>
      <c r="F45" s="375">
        <v>265.87180000000001</v>
      </c>
      <c r="G45" s="375">
        <v>321.88</v>
      </c>
      <c r="H45" s="381"/>
      <c r="I45" s="383">
        <v>388.95</v>
      </c>
      <c r="J45" s="396" t="s">
        <v>246</v>
      </c>
      <c r="K45" s="382">
        <f t="shared" si="20"/>
        <v>1465.0731000000001</v>
      </c>
      <c r="L45" s="383">
        <f t="shared" si="21"/>
        <v>207.66126629689401</v>
      </c>
      <c r="M45" s="383">
        <f t="shared" si="22"/>
        <v>233.86466888905946</v>
      </c>
      <c r="N45" s="383">
        <f t="shared" si="23"/>
        <v>218.33199527123102</v>
      </c>
      <c r="O45" s="383">
        <f t="shared" si="24"/>
        <v>243.66161971168498</v>
      </c>
      <c r="P45" s="383">
        <f t="shared" si="25"/>
        <v>272.63905171267123</v>
      </c>
      <c r="Q45" s="384">
        <f t="shared" si="26"/>
        <v>1176.1586018815408</v>
      </c>
      <c r="R45" s="385">
        <f t="shared" si="7"/>
        <v>56.007552470549562</v>
      </c>
    </row>
    <row r="46" spans="1:18" ht="13.5" customHeight="1">
      <c r="A46" s="471">
        <v>35</v>
      </c>
      <c r="B46" s="393" t="s">
        <v>47</v>
      </c>
      <c r="C46" s="472">
        <v>10787</v>
      </c>
      <c r="D46" s="375">
        <v>1086.7253000000001</v>
      </c>
      <c r="E46" s="375">
        <v>1060.7583999999999</v>
      </c>
      <c r="F46" s="375">
        <v>1449.9279999999999</v>
      </c>
      <c r="G46" s="375">
        <v>1562.5</v>
      </c>
      <c r="H46" s="381"/>
      <c r="I46" s="375">
        <v>2750</v>
      </c>
      <c r="J46" s="396" t="s">
        <v>246</v>
      </c>
      <c r="K46" s="382">
        <f t="shared" si="20"/>
        <v>7909.9116999999997</v>
      </c>
      <c r="L46" s="383">
        <f t="shared" si="21"/>
        <v>1027.5753360651106</v>
      </c>
      <c r="M46" s="383">
        <f t="shared" si="22"/>
        <v>923.04339425200305</v>
      </c>
      <c r="N46" s="383">
        <f t="shared" si="23"/>
        <v>1190.6703653400828</v>
      </c>
      <c r="O46" s="383">
        <f t="shared" si="24"/>
        <v>1182.805022988405</v>
      </c>
      <c r="P46" s="383">
        <f t="shared" si="25"/>
        <v>1927.6446643780585</v>
      </c>
      <c r="Q46" s="384">
        <f t="shared" si="26"/>
        <v>6251.7387830236594</v>
      </c>
      <c r="R46" s="385">
        <f t="shared" si="7"/>
        <v>57.95623234470807</v>
      </c>
    </row>
    <row r="47" spans="1:18">
      <c r="A47" s="347"/>
      <c r="B47" s="393" t="s">
        <v>255</v>
      </c>
      <c r="C47" s="376">
        <f>SUM(C40:C46)</f>
        <v>76118.149999999994</v>
      </c>
      <c r="D47" s="377">
        <f>SUM(D40:D46)</f>
        <v>11165.973499999998</v>
      </c>
      <c r="E47" s="377">
        <f>SUM(E40:E46)</f>
        <v>12347.7515</v>
      </c>
      <c r="F47" s="377">
        <f>SUM(F40:F46)</f>
        <v>14448.946400000001</v>
      </c>
      <c r="G47" s="377">
        <f>SUM(G40:G46)</f>
        <v>14109.939999999999</v>
      </c>
      <c r="H47" s="392"/>
      <c r="I47" s="377">
        <f>SUM(I40:I46)</f>
        <v>21031.65</v>
      </c>
      <c r="J47" s="396"/>
      <c r="K47" s="378">
        <f>SUM(K40:K46)</f>
        <v>73104.261400000003</v>
      </c>
      <c r="L47" s="377">
        <f t="shared" ref="L47:Q47" si="27">SUM(L40:L46)</f>
        <v>10558.214639667098</v>
      </c>
      <c r="M47" s="377">
        <f t="shared" si="27"/>
        <v>10744.680839614623</v>
      </c>
      <c r="N47" s="377">
        <f t="shared" si="27"/>
        <v>11865.370065870356</v>
      </c>
      <c r="O47" s="377">
        <f t="shared" si="27"/>
        <v>10681.157059881609</v>
      </c>
      <c r="P47" s="377">
        <f t="shared" si="27"/>
        <v>14742.381056569744</v>
      </c>
      <c r="Q47" s="379">
        <f t="shared" si="27"/>
        <v>58591.803661603444</v>
      </c>
      <c r="R47" s="385">
        <f t="shared" si="7"/>
        <v>76.97481305260763</v>
      </c>
    </row>
    <row r="48" spans="1:18" ht="16.5" customHeight="1">
      <c r="A48" s="347"/>
      <c r="B48" s="393" t="s">
        <v>262</v>
      </c>
      <c r="C48" s="376">
        <f>+C38+C47</f>
        <v>1488147.5799999998</v>
      </c>
      <c r="D48" s="377">
        <f>+D38+D47</f>
        <v>228339.25189999997</v>
      </c>
      <c r="E48" s="377">
        <f>+E38+E47</f>
        <v>279082.8113</v>
      </c>
      <c r="F48" s="377">
        <f t="shared" ref="F48:Q48" si="28">+F38+F47</f>
        <v>310122.81194000004</v>
      </c>
      <c r="G48" s="377">
        <f t="shared" si="28"/>
        <v>368546.36</v>
      </c>
      <c r="H48" s="377">
        <f t="shared" si="28"/>
        <v>0</v>
      </c>
      <c r="I48" s="377">
        <f t="shared" si="28"/>
        <v>472260.11000000004</v>
      </c>
      <c r="J48" s="399"/>
      <c r="K48" s="378">
        <f t="shared" si="28"/>
        <v>1658351.3451399999</v>
      </c>
      <c r="L48" s="377">
        <f t="shared" si="28"/>
        <v>215910.85024706653</v>
      </c>
      <c r="M48" s="377">
        <f t="shared" si="28"/>
        <v>242850.34690250229</v>
      </c>
      <c r="N48" s="377">
        <f t="shared" si="28"/>
        <v>254670.60556999629</v>
      </c>
      <c r="O48" s="377">
        <f t="shared" si="28"/>
        <v>278987.83091973944</v>
      </c>
      <c r="P48" s="377">
        <f t="shared" si="28"/>
        <v>331036.24772367091</v>
      </c>
      <c r="Q48" s="379">
        <f t="shared" si="28"/>
        <v>1323455.8813629756</v>
      </c>
      <c r="R48" s="385">
        <f t="shared" si="7"/>
        <v>88.933107115826232</v>
      </c>
    </row>
    <row r="49" spans="1:11" ht="18.75" customHeight="1">
      <c r="A49" s="351"/>
      <c r="B49" s="508" t="s">
        <v>300</v>
      </c>
      <c r="C49" s="508"/>
      <c r="D49" s="508"/>
      <c r="E49" s="508"/>
      <c r="F49" s="508" t="s">
        <v>267</v>
      </c>
      <c r="G49" s="508"/>
      <c r="H49" s="508"/>
      <c r="I49" s="508"/>
      <c r="J49" s="508"/>
      <c r="K49" s="508"/>
    </row>
    <row r="50" spans="1:11" ht="12" customHeight="1">
      <c r="A50" s="351"/>
      <c r="B50" s="342" t="s">
        <v>301</v>
      </c>
      <c r="C50" s="359"/>
      <c r="D50" s="360"/>
      <c r="E50" s="360"/>
      <c r="F50" s="360"/>
      <c r="G50" s="360"/>
      <c r="H50" s="360"/>
      <c r="I50" s="360"/>
      <c r="J50" s="394"/>
      <c r="K50" s="351"/>
    </row>
    <row r="51" spans="1:11">
      <c r="A51" s="351"/>
      <c r="B51" s="343"/>
      <c r="C51" s="362"/>
      <c r="D51" s="363" t="s">
        <v>55</v>
      </c>
      <c r="E51" s="363" t="s">
        <v>56</v>
      </c>
      <c r="F51" s="363" t="s">
        <v>7</v>
      </c>
      <c r="G51" s="363" t="s">
        <v>8</v>
      </c>
      <c r="H51" s="363"/>
      <c r="I51" s="363" t="s">
        <v>9</v>
      </c>
      <c r="J51" s="394"/>
      <c r="K51" s="351"/>
    </row>
    <row r="52" spans="1:11">
      <c r="A52" s="351"/>
      <c r="B52" s="344" t="s">
        <v>169</v>
      </c>
      <c r="C52" s="364"/>
      <c r="D52" s="365">
        <f ca="1">+'Aggregate Resources'!D45</f>
        <v>1.0575626543951435</v>
      </c>
      <c r="E52" s="365">
        <f ca="1">+'Aggregate Resources'!E45</f>
        <v>1.1491966754819751</v>
      </c>
      <c r="F52" s="365">
        <f ca="1">+'Aggregate Resources'!F45</f>
        <v>1.2177408980745625</v>
      </c>
      <c r="G52" s="365">
        <f ca="1">+'Aggregate Resources'!G45</f>
        <v>1.321012313637526</v>
      </c>
      <c r="H52" s="365"/>
      <c r="I52" s="365">
        <f ca="1">+'Aggregate Resources'!H45</f>
        <v>1.426611476076826</v>
      </c>
      <c r="J52" s="394"/>
      <c r="K52" s="351"/>
    </row>
    <row r="53" spans="1:11">
      <c r="A53" s="351"/>
      <c r="B53" s="349"/>
      <c r="C53" s="366"/>
      <c r="D53" s="351"/>
      <c r="E53" s="351"/>
      <c r="F53" s="351"/>
      <c r="G53" s="351"/>
      <c r="H53" s="352"/>
      <c r="I53" s="351"/>
      <c r="J53" s="394"/>
      <c r="K53" s="351"/>
    </row>
    <row r="54" spans="1:11">
      <c r="A54" s="351"/>
      <c r="B54" s="349"/>
      <c r="C54" s="366"/>
      <c r="D54" s="351"/>
      <c r="E54" s="351"/>
      <c r="F54" s="351"/>
      <c r="G54" s="351"/>
      <c r="H54" s="352"/>
      <c r="I54" s="351"/>
      <c r="J54" s="394"/>
      <c r="K54" s="351"/>
    </row>
    <row r="55" spans="1:11">
      <c r="A55" s="351"/>
      <c r="B55" s="349"/>
      <c r="C55" s="366"/>
      <c r="D55" s="351"/>
      <c r="E55" s="351"/>
      <c r="F55" s="351"/>
      <c r="G55" s="351"/>
      <c r="H55" s="352"/>
      <c r="I55" s="351"/>
      <c r="J55" s="394"/>
      <c r="K55" s="351"/>
    </row>
    <row r="56" spans="1:11">
      <c r="A56" s="351"/>
      <c r="B56" s="349"/>
      <c r="C56" s="366"/>
      <c r="D56" s="351"/>
      <c r="E56" s="351"/>
      <c r="F56" s="351"/>
      <c r="G56" s="351"/>
      <c r="H56" s="352"/>
      <c r="I56" s="351"/>
      <c r="J56" s="394"/>
      <c r="K56" s="351"/>
    </row>
    <row r="57" spans="1:11">
      <c r="A57" s="351"/>
      <c r="B57" s="349"/>
      <c r="C57" s="366"/>
      <c r="D57" s="351"/>
      <c r="E57" s="351"/>
      <c r="F57" s="351"/>
      <c r="G57" s="351"/>
      <c r="H57" s="352"/>
      <c r="I57" s="351"/>
      <c r="J57" s="394"/>
      <c r="K57" s="351"/>
    </row>
    <row r="58" spans="1:11">
      <c r="A58" s="351"/>
      <c r="B58" s="349"/>
      <c r="C58" s="366"/>
      <c r="D58" s="351"/>
      <c r="E58" s="351"/>
      <c r="F58" s="351"/>
      <c r="G58" s="351"/>
      <c r="H58" s="352"/>
      <c r="I58" s="351"/>
      <c r="J58" s="394"/>
      <c r="K58" s="351"/>
    </row>
    <row r="59" spans="1:11">
      <c r="A59" s="351"/>
      <c r="B59" s="349"/>
      <c r="C59" s="366"/>
      <c r="D59" s="351"/>
      <c r="E59" s="351"/>
      <c r="F59" s="351"/>
      <c r="G59" s="351"/>
      <c r="H59" s="352"/>
      <c r="I59" s="351"/>
      <c r="J59" s="394"/>
      <c r="K59" s="351"/>
    </row>
    <row r="60" spans="1:11">
      <c r="A60" s="351"/>
      <c r="B60" s="349"/>
      <c r="C60" s="366"/>
      <c r="D60" s="351"/>
      <c r="E60" s="351"/>
      <c r="F60" s="351"/>
      <c r="G60" s="351"/>
      <c r="H60" s="352"/>
      <c r="I60" s="351"/>
      <c r="J60" s="394"/>
      <c r="K60" s="351"/>
    </row>
    <row r="61" spans="1:11">
      <c r="A61" s="351"/>
      <c r="B61" s="349"/>
      <c r="C61" s="366"/>
      <c r="D61" s="351"/>
      <c r="E61" s="351"/>
      <c r="F61" s="351"/>
      <c r="G61" s="351"/>
      <c r="H61" s="352"/>
      <c r="I61" s="351"/>
      <c r="J61" s="394"/>
      <c r="K61" s="351"/>
    </row>
    <row r="62" spans="1:11">
      <c r="A62" s="351"/>
      <c r="B62" s="349"/>
      <c r="C62" s="366"/>
      <c r="D62" s="351"/>
      <c r="E62" s="351"/>
      <c r="F62" s="351"/>
      <c r="G62" s="351"/>
      <c r="H62" s="352"/>
      <c r="I62" s="351"/>
      <c r="J62" s="394"/>
      <c r="K62" s="351"/>
    </row>
    <row r="63" spans="1:11">
      <c r="A63" s="351"/>
      <c r="B63" s="349"/>
      <c r="C63" s="366"/>
      <c r="D63" s="351"/>
      <c r="E63" s="351"/>
      <c r="F63" s="351"/>
      <c r="G63" s="351"/>
      <c r="H63" s="352"/>
      <c r="I63" s="351"/>
      <c r="J63" s="394"/>
      <c r="K63" s="351"/>
    </row>
    <row r="64" spans="1:11">
      <c r="A64" s="351"/>
      <c r="B64" s="349"/>
      <c r="C64" s="366"/>
      <c r="D64" s="351"/>
      <c r="E64" s="351"/>
      <c r="F64" s="351"/>
      <c r="G64" s="351"/>
      <c r="H64" s="352"/>
      <c r="I64" s="351"/>
      <c r="J64" s="394"/>
      <c r="K64" s="351"/>
    </row>
    <row r="65" spans="1:11">
      <c r="A65" s="351"/>
      <c r="B65" s="349"/>
      <c r="C65" s="366"/>
      <c r="D65" s="351"/>
      <c r="E65" s="351"/>
      <c r="F65" s="351"/>
      <c r="G65" s="351"/>
      <c r="H65" s="352"/>
      <c r="I65" s="351"/>
      <c r="J65" s="394"/>
      <c r="K65" s="351"/>
    </row>
    <row r="66" spans="1:11">
      <c r="A66" s="351"/>
      <c r="B66" s="349"/>
      <c r="C66" s="366"/>
      <c r="D66" s="351"/>
      <c r="E66" s="351"/>
      <c r="F66" s="351"/>
      <c r="G66" s="351"/>
      <c r="H66" s="352"/>
      <c r="I66" s="351"/>
      <c r="J66" s="394"/>
      <c r="K66" s="351"/>
    </row>
    <row r="67" spans="1:11">
      <c r="A67" s="351"/>
      <c r="B67" s="349"/>
      <c r="C67" s="366"/>
      <c r="D67" s="351"/>
      <c r="E67" s="351"/>
      <c r="F67" s="351"/>
      <c r="G67" s="351"/>
      <c r="H67" s="352"/>
      <c r="I67" s="351"/>
      <c r="J67" s="394"/>
      <c r="K67" s="351"/>
    </row>
    <row r="68" spans="1:11">
      <c r="A68" s="351"/>
      <c r="B68" s="349"/>
      <c r="C68" s="366"/>
      <c r="D68" s="351"/>
      <c r="E68" s="351"/>
      <c r="F68" s="351"/>
      <c r="G68" s="351"/>
      <c r="H68" s="352"/>
      <c r="I68" s="351"/>
      <c r="J68" s="394"/>
      <c r="K68" s="351"/>
    </row>
    <row r="69" spans="1:11">
      <c r="A69" s="351"/>
      <c r="B69" s="349"/>
      <c r="C69" s="366"/>
      <c r="D69" s="351"/>
      <c r="E69" s="351"/>
      <c r="F69" s="351"/>
      <c r="G69" s="351"/>
      <c r="H69" s="352"/>
      <c r="I69" s="351"/>
      <c r="J69" s="394"/>
      <c r="K69" s="351"/>
    </row>
    <row r="70" spans="1:11">
      <c r="A70" s="351"/>
      <c r="B70" s="349"/>
      <c r="C70" s="366"/>
      <c r="D70" s="351"/>
      <c r="E70" s="351"/>
      <c r="F70" s="351"/>
      <c r="G70" s="351"/>
      <c r="H70" s="352"/>
      <c r="I70" s="351"/>
      <c r="J70" s="394"/>
      <c r="K70" s="351"/>
    </row>
    <row r="71" spans="1:11">
      <c r="A71" s="351"/>
      <c r="B71" s="349"/>
      <c r="C71" s="366"/>
      <c r="D71" s="351"/>
      <c r="E71" s="351"/>
      <c r="F71" s="351"/>
      <c r="G71" s="351"/>
      <c r="H71" s="352"/>
      <c r="I71" s="351"/>
      <c r="J71" s="394"/>
      <c r="K71" s="351"/>
    </row>
    <row r="72" spans="1:11">
      <c r="A72" s="351"/>
      <c r="B72" s="349"/>
      <c r="C72" s="366"/>
      <c r="D72" s="351"/>
      <c r="E72" s="351"/>
      <c r="F72" s="351"/>
      <c r="G72" s="351"/>
      <c r="H72" s="352"/>
      <c r="I72" s="351"/>
      <c r="J72" s="394"/>
      <c r="K72" s="351"/>
    </row>
    <row r="73" spans="1:11">
      <c r="A73" s="351"/>
      <c r="B73" s="349"/>
      <c r="C73" s="366"/>
      <c r="D73" s="351"/>
      <c r="E73" s="351"/>
      <c r="F73" s="351"/>
      <c r="G73" s="351"/>
      <c r="H73" s="352"/>
      <c r="I73" s="351"/>
      <c r="J73" s="394"/>
      <c r="K73" s="351"/>
    </row>
    <row r="74" spans="1:11">
      <c r="A74" s="351"/>
      <c r="B74" s="349"/>
      <c r="C74" s="366"/>
      <c r="D74" s="351"/>
      <c r="E74" s="351"/>
      <c r="F74" s="351"/>
      <c r="G74" s="351"/>
      <c r="H74" s="352"/>
      <c r="I74" s="351"/>
      <c r="J74" s="394"/>
      <c r="K74" s="351"/>
    </row>
    <row r="75" spans="1:11">
      <c r="A75" s="351"/>
      <c r="B75" s="349"/>
      <c r="C75" s="366"/>
      <c r="D75" s="351"/>
      <c r="E75" s="351"/>
      <c r="F75" s="351"/>
      <c r="G75" s="351"/>
      <c r="H75" s="352"/>
      <c r="I75" s="351"/>
      <c r="J75" s="394"/>
      <c r="K75" s="351"/>
    </row>
    <row r="76" spans="1:11">
      <c r="A76" s="351"/>
      <c r="B76" s="349"/>
      <c r="C76" s="366"/>
      <c r="D76" s="351"/>
      <c r="E76" s="351"/>
      <c r="F76" s="351"/>
      <c r="G76" s="351"/>
      <c r="H76" s="352"/>
      <c r="I76" s="351"/>
      <c r="J76" s="394"/>
      <c r="K76" s="351"/>
    </row>
    <row r="77" spans="1:11">
      <c r="A77" s="351"/>
      <c r="B77" s="349"/>
      <c r="C77" s="366"/>
      <c r="D77" s="351"/>
      <c r="E77" s="351"/>
      <c r="F77" s="351"/>
      <c r="G77" s="351"/>
      <c r="H77" s="352"/>
      <c r="I77" s="351"/>
      <c r="J77" s="394"/>
      <c r="K77" s="351"/>
    </row>
    <row r="78" spans="1:11">
      <c r="A78" s="351"/>
      <c r="B78" s="349"/>
      <c r="C78" s="366"/>
      <c r="D78" s="351"/>
      <c r="E78" s="351"/>
      <c r="F78" s="351"/>
      <c r="G78" s="351"/>
      <c r="H78" s="352"/>
      <c r="I78" s="351"/>
      <c r="J78" s="394"/>
      <c r="K78" s="351"/>
    </row>
    <row r="79" spans="1:11">
      <c r="A79" s="351"/>
      <c r="B79" s="349"/>
      <c r="C79" s="366"/>
      <c r="D79" s="351"/>
      <c r="E79" s="351"/>
      <c r="F79" s="351"/>
      <c r="G79" s="351"/>
      <c r="H79" s="352"/>
      <c r="I79" s="351"/>
      <c r="J79" s="394"/>
      <c r="K79" s="351"/>
    </row>
    <row r="80" spans="1:11">
      <c r="A80" s="351"/>
      <c r="B80" s="349"/>
      <c r="C80" s="366"/>
      <c r="D80" s="351"/>
      <c r="E80" s="351"/>
      <c r="F80" s="351"/>
      <c r="G80" s="351"/>
      <c r="H80" s="352"/>
      <c r="I80" s="351"/>
      <c r="J80" s="394"/>
      <c r="K80" s="351"/>
    </row>
    <row r="81" spans="1:11">
      <c r="A81" s="351"/>
      <c r="B81" s="349"/>
      <c r="C81" s="366"/>
      <c r="D81" s="351"/>
      <c r="E81" s="351"/>
      <c r="F81" s="351"/>
      <c r="G81" s="351"/>
      <c r="H81" s="352"/>
      <c r="I81" s="351"/>
      <c r="J81" s="394"/>
      <c r="K81" s="351"/>
    </row>
    <row r="82" spans="1:11">
      <c r="A82" s="351"/>
      <c r="B82" s="349"/>
      <c r="C82" s="366"/>
      <c r="D82" s="351"/>
      <c r="E82" s="351"/>
      <c r="F82" s="351"/>
      <c r="G82" s="351"/>
      <c r="H82" s="352"/>
      <c r="I82" s="351"/>
      <c r="J82" s="394"/>
      <c r="K82" s="351"/>
    </row>
    <row r="83" spans="1:11">
      <c r="A83" s="351"/>
      <c r="B83" s="349"/>
      <c r="C83" s="366"/>
      <c r="D83" s="351"/>
      <c r="E83" s="351"/>
      <c r="F83" s="351"/>
      <c r="G83" s="351"/>
      <c r="H83" s="352"/>
      <c r="I83" s="351"/>
      <c r="J83" s="394"/>
      <c r="K83" s="351"/>
    </row>
    <row r="84" spans="1:11">
      <c r="A84" s="351"/>
      <c r="B84" s="349"/>
      <c r="C84" s="366"/>
      <c r="D84" s="351"/>
      <c r="E84" s="351"/>
      <c r="F84" s="351"/>
      <c r="G84" s="351"/>
      <c r="H84" s="352"/>
      <c r="I84" s="351"/>
      <c r="J84" s="394"/>
      <c r="K84" s="351"/>
    </row>
    <row r="85" spans="1:11">
      <c r="A85" s="351"/>
      <c r="B85" s="349"/>
      <c r="C85" s="366"/>
      <c r="D85" s="351"/>
      <c r="E85" s="351"/>
      <c r="F85" s="351"/>
      <c r="G85" s="351"/>
      <c r="H85" s="352"/>
      <c r="I85" s="351"/>
      <c r="J85" s="394"/>
      <c r="K85" s="351"/>
    </row>
    <row r="86" spans="1:11">
      <c r="A86" s="351"/>
      <c r="B86" s="349"/>
      <c r="C86" s="366"/>
      <c r="D86" s="351"/>
      <c r="E86" s="351"/>
      <c r="F86" s="351"/>
      <c r="G86" s="351"/>
      <c r="H86" s="352"/>
      <c r="I86" s="351"/>
      <c r="J86" s="394"/>
      <c r="K86" s="351"/>
    </row>
    <row r="87" spans="1:11">
      <c r="A87" s="351"/>
      <c r="B87" s="349"/>
      <c r="C87" s="366"/>
      <c r="D87" s="351"/>
      <c r="E87" s="351"/>
      <c r="F87" s="351"/>
      <c r="G87" s="351"/>
      <c r="H87" s="352"/>
      <c r="I87" s="351"/>
      <c r="J87" s="394"/>
      <c r="K87" s="351"/>
    </row>
    <row r="88" spans="1:11">
      <c r="A88" s="351"/>
      <c r="B88" s="349"/>
      <c r="C88" s="366"/>
      <c r="D88" s="351"/>
      <c r="E88" s="351"/>
      <c r="F88" s="351"/>
      <c r="G88" s="351"/>
      <c r="H88" s="352"/>
      <c r="I88" s="351"/>
      <c r="J88" s="394"/>
      <c r="K88" s="351"/>
    </row>
    <row r="89" spans="1:11">
      <c r="A89" s="351"/>
      <c r="B89" s="349"/>
      <c r="C89" s="366"/>
      <c r="D89" s="351"/>
      <c r="E89" s="351"/>
      <c r="F89" s="351"/>
      <c r="G89" s="351"/>
      <c r="H89" s="352"/>
      <c r="I89" s="351"/>
      <c r="J89" s="394"/>
      <c r="K89" s="351"/>
    </row>
    <row r="90" spans="1:11">
      <c r="A90" s="351"/>
      <c r="B90" s="349"/>
      <c r="C90" s="366"/>
      <c r="D90" s="351"/>
      <c r="E90" s="351"/>
      <c r="F90" s="351"/>
      <c r="G90" s="351"/>
      <c r="H90" s="352"/>
      <c r="I90" s="351"/>
      <c r="J90" s="394"/>
      <c r="K90" s="351"/>
    </row>
    <row r="91" spans="1:11">
      <c r="A91" s="351"/>
      <c r="B91" s="349"/>
      <c r="C91" s="366"/>
      <c r="D91" s="351"/>
      <c r="E91" s="351"/>
      <c r="F91" s="351"/>
      <c r="G91" s="351"/>
      <c r="H91" s="352"/>
      <c r="I91" s="351"/>
      <c r="J91" s="394"/>
      <c r="K91" s="351"/>
    </row>
    <row r="92" spans="1:11">
      <c r="A92" s="351"/>
      <c r="B92" s="349"/>
      <c r="C92" s="366"/>
      <c r="D92" s="351"/>
      <c r="E92" s="351"/>
      <c r="F92" s="351"/>
      <c r="G92" s="351"/>
      <c r="H92" s="352"/>
      <c r="I92" s="351"/>
      <c r="J92" s="394"/>
      <c r="K92" s="351"/>
    </row>
    <row r="93" spans="1:11">
      <c r="A93" s="351"/>
      <c r="B93" s="349"/>
      <c r="C93" s="366"/>
      <c r="D93" s="351"/>
      <c r="E93" s="351"/>
      <c r="F93" s="351"/>
      <c r="G93" s="351"/>
      <c r="H93" s="352"/>
      <c r="I93" s="351"/>
      <c r="J93" s="394"/>
      <c r="K93" s="351"/>
    </row>
    <row r="94" spans="1:11">
      <c r="A94" s="351"/>
      <c r="B94" s="349"/>
      <c r="C94" s="366"/>
      <c r="D94" s="351"/>
      <c r="E94" s="351"/>
      <c r="F94" s="351"/>
      <c r="G94" s="351"/>
      <c r="H94" s="352"/>
      <c r="I94" s="351"/>
      <c r="J94" s="394"/>
      <c r="K94" s="351"/>
    </row>
    <row r="95" spans="1:11">
      <c r="A95" s="351"/>
      <c r="B95" s="349"/>
      <c r="C95" s="366"/>
      <c r="D95" s="351"/>
      <c r="E95" s="351"/>
      <c r="F95" s="351"/>
      <c r="G95" s="351"/>
      <c r="H95" s="352"/>
      <c r="I95" s="351"/>
      <c r="J95" s="394"/>
      <c r="K95" s="351"/>
    </row>
    <row r="96" spans="1:11">
      <c r="A96" s="351"/>
      <c r="B96" s="349"/>
      <c r="C96" s="366"/>
      <c r="D96" s="351"/>
      <c r="E96" s="351"/>
      <c r="F96" s="351"/>
      <c r="G96" s="351"/>
      <c r="H96" s="352"/>
      <c r="I96" s="351"/>
      <c r="J96" s="394"/>
      <c r="K96" s="351"/>
    </row>
    <row r="97" spans="1:11">
      <c r="A97" s="351"/>
      <c r="B97" s="349"/>
      <c r="C97" s="366"/>
      <c r="D97" s="351"/>
      <c r="E97" s="351"/>
      <c r="F97" s="351"/>
      <c r="G97" s="351"/>
      <c r="H97" s="352"/>
      <c r="I97" s="351"/>
      <c r="J97" s="394"/>
      <c r="K97" s="351"/>
    </row>
    <row r="98" spans="1:11">
      <c r="A98" s="351"/>
      <c r="B98" s="349"/>
      <c r="C98" s="366"/>
      <c r="D98" s="351"/>
      <c r="E98" s="351"/>
      <c r="F98" s="351"/>
      <c r="G98" s="351"/>
      <c r="H98" s="352"/>
      <c r="I98" s="351"/>
      <c r="J98" s="394"/>
      <c r="K98" s="351"/>
    </row>
    <row r="99" spans="1:11">
      <c r="A99" s="351"/>
      <c r="B99" s="349"/>
      <c r="C99" s="366"/>
      <c r="D99" s="351"/>
      <c r="E99" s="351"/>
      <c r="F99" s="351"/>
      <c r="G99" s="351"/>
      <c r="H99" s="352"/>
      <c r="I99" s="351"/>
      <c r="J99" s="394"/>
      <c r="K99" s="351"/>
    </row>
    <row r="100" spans="1:11">
      <c r="A100" s="351"/>
      <c r="B100" s="349"/>
      <c r="C100" s="366"/>
      <c r="D100" s="351"/>
      <c r="E100" s="351"/>
      <c r="F100" s="351"/>
      <c r="G100" s="351"/>
      <c r="H100" s="352"/>
      <c r="I100" s="351"/>
      <c r="J100" s="394"/>
      <c r="K100" s="351"/>
    </row>
    <row r="101" spans="1:11">
      <c r="A101" s="351"/>
      <c r="B101" s="349"/>
      <c r="C101" s="366"/>
      <c r="D101" s="351"/>
      <c r="E101" s="351"/>
      <c r="F101" s="351"/>
      <c r="G101" s="351"/>
      <c r="H101" s="352"/>
      <c r="I101" s="351"/>
      <c r="J101" s="394"/>
      <c r="K101" s="351"/>
    </row>
    <row r="102" spans="1:11">
      <c r="A102" s="351"/>
      <c r="B102" s="349"/>
      <c r="C102" s="366"/>
      <c r="D102" s="351"/>
      <c r="E102" s="351"/>
      <c r="F102" s="351"/>
      <c r="G102" s="351"/>
      <c r="H102" s="352"/>
      <c r="I102" s="351"/>
      <c r="J102" s="394"/>
      <c r="K102" s="351"/>
    </row>
    <row r="103" spans="1:11">
      <c r="A103" s="351"/>
      <c r="B103" s="349"/>
      <c r="C103" s="366"/>
      <c r="D103" s="351"/>
      <c r="E103" s="351"/>
      <c r="F103" s="351"/>
      <c r="G103" s="351"/>
      <c r="H103" s="352"/>
      <c r="I103" s="351"/>
      <c r="J103" s="394"/>
      <c r="K103" s="351"/>
    </row>
    <row r="104" spans="1:11">
      <c r="A104" s="351"/>
      <c r="B104" s="349"/>
      <c r="C104" s="366"/>
      <c r="D104" s="351"/>
      <c r="E104" s="351"/>
      <c r="F104" s="351"/>
      <c r="G104" s="351"/>
      <c r="H104" s="352"/>
      <c r="I104" s="351"/>
      <c r="J104" s="394"/>
      <c r="K104" s="351"/>
    </row>
    <row r="105" spans="1:11">
      <c r="A105" s="351"/>
      <c r="B105" s="349"/>
      <c r="C105" s="366"/>
      <c r="D105" s="351"/>
      <c r="E105" s="351"/>
      <c r="F105" s="351"/>
      <c r="G105" s="351"/>
      <c r="H105" s="352"/>
      <c r="I105" s="351"/>
      <c r="J105" s="394"/>
      <c r="K105" s="351"/>
    </row>
    <row r="106" spans="1:11">
      <c r="A106" s="351"/>
      <c r="B106" s="349"/>
      <c r="C106" s="366"/>
      <c r="D106" s="351"/>
      <c r="E106" s="351"/>
      <c r="F106" s="351"/>
      <c r="G106" s="351"/>
      <c r="H106" s="352"/>
      <c r="I106" s="351"/>
      <c r="J106" s="394"/>
      <c r="K106" s="351"/>
    </row>
    <row r="107" spans="1:11">
      <c r="A107" s="351"/>
      <c r="B107" s="349"/>
      <c r="C107" s="366"/>
      <c r="D107" s="351"/>
      <c r="E107" s="351"/>
      <c r="F107" s="351"/>
      <c r="G107" s="351"/>
      <c r="H107" s="352"/>
      <c r="I107" s="351"/>
      <c r="J107" s="394"/>
      <c r="K107" s="351"/>
    </row>
    <row r="108" spans="1:11">
      <c r="A108" s="351"/>
      <c r="B108" s="349"/>
      <c r="C108" s="366"/>
      <c r="D108" s="351"/>
      <c r="E108" s="351"/>
      <c r="F108" s="351"/>
      <c r="G108" s="351"/>
      <c r="H108" s="352"/>
      <c r="I108" s="351"/>
      <c r="J108" s="394"/>
      <c r="K108" s="351"/>
    </row>
    <row r="109" spans="1:11">
      <c r="A109" s="351"/>
      <c r="B109" s="349"/>
      <c r="C109" s="366"/>
      <c r="D109" s="351"/>
      <c r="E109" s="351"/>
      <c r="F109" s="351"/>
      <c r="G109" s="351"/>
      <c r="H109" s="352"/>
      <c r="I109" s="351"/>
      <c r="J109" s="394"/>
      <c r="K109" s="351"/>
    </row>
    <row r="110" spans="1:11">
      <c r="A110" s="351"/>
      <c r="B110" s="349"/>
      <c r="C110" s="366"/>
      <c r="D110" s="351"/>
      <c r="E110" s="351"/>
      <c r="F110" s="351"/>
      <c r="G110" s="351"/>
      <c r="H110" s="352"/>
      <c r="I110" s="351"/>
      <c r="J110" s="394"/>
      <c r="K110" s="351"/>
    </row>
    <row r="111" spans="1:11">
      <c r="A111" s="351"/>
      <c r="B111" s="349"/>
      <c r="C111" s="366"/>
      <c r="D111" s="351"/>
      <c r="E111" s="351"/>
      <c r="F111" s="351"/>
      <c r="G111" s="351"/>
      <c r="H111" s="352"/>
      <c r="I111" s="351"/>
      <c r="J111" s="394"/>
      <c r="K111" s="351"/>
    </row>
    <row r="112" spans="1:11">
      <c r="A112" s="351"/>
      <c r="B112" s="349"/>
      <c r="C112" s="366"/>
      <c r="D112" s="351"/>
      <c r="E112" s="351"/>
      <c r="F112" s="351"/>
      <c r="G112" s="351"/>
      <c r="H112" s="352"/>
      <c r="I112" s="351"/>
      <c r="J112" s="394"/>
      <c r="K112" s="351"/>
    </row>
    <row r="113" spans="1:11">
      <c r="A113" s="351"/>
      <c r="B113" s="349"/>
      <c r="C113" s="366"/>
      <c r="D113" s="351"/>
      <c r="E113" s="351"/>
      <c r="F113" s="351"/>
      <c r="G113" s="351"/>
      <c r="H113" s="352"/>
      <c r="I113" s="351"/>
      <c r="J113" s="394"/>
      <c r="K113" s="351"/>
    </row>
    <row r="114" spans="1:11">
      <c r="A114" s="351"/>
      <c r="B114" s="349"/>
      <c r="C114" s="366"/>
      <c r="D114" s="351"/>
      <c r="E114" s="351"/>
      <c r="F114" s="351"/>
      <c r="G114" s="351"/>
      <c r="H114" s="352"/>
      <c r="I114" s="351"/>
      <c r="J114" s="394"/>
      <c r="K114" s="351"/>
    </row>
    <row r="115" spans="1:11">
      <c r="A115" s="351"/>
      <c r="B115" s="349"/>
      <c r="C115" s="366"/>
      <c r="D115" s="351"/>
      <c r="E115" s="351"/>
      <c r="F115" s="351"/>
      <c r="G115" s="351"/>
      <c r="H115" s="352"/>
      <c r="I115" s="351"/>
      <c r="J115" s="394"/>
      <c r="K115" s="351"/>
    </row>
    <row r="116" spans="1:11">
      <c r="A116" s="351"/>
      <c r="B116" s="349"/>
      <c r="C116" s="366"/>
      <c r="D116" s="351"/>
      <c r="E116" s="351"/>
      <c r="F116" s="351"/>
      <c r="G116" s="351"/>
      <c r="H116" s="352"/>
      <c r="I116" s="351"/>
      <c r="J116" s="394"/>
      <c r="K116" s="351"/>
    </row>
    <row r="117" spans="1:11">
      <c r="A117" s="351"/>
      <c r="B117" s="349"/>
      <c r="C117" s="366"/>
      <c r="D117" s="351"/>
      <c r="E117" s="351"/>
      <c r="F117" s="351"/>
      <c r="G117" s="351"/>
      <c r="H117" s="352"/>
      <c r="I117" s="351"/>
      <c r="J117" s="394"/>
      <c r="K117" s="351"/>
    </row>
    <row r="118" spans="1:11">
      <c r="A118" s="351"/>
      <c r="B118" s="349"/>
      <c r="C118" s="366"/>
      <c r="D118" s="351"/>
      <c r="E118" s="351"/>
      <c r="F118" s="351"/>
      <c r="G118" s="351"/>
      <c r="H118" s="352"/>
      <c r="I118" s="351"/>
      <c r="J118" s="394"/>
      <c r="K118" s="351"/>
    </row>
    <row r="119" spans="1:11">
      <c r="A119" s="351"/>
      <c r="B119" s="349"/>
      <c r="C119" s="366"/>
      <c r="D119" s="351"/>
      <c r="E119" s="351"/>
      <c r="F119" s="351"/>
      <c r="G119" s="351"/>
      <c r="H119" s="352"/>
      <c r="I119" s="351"/>
      <c r="J119" s="394"/>
      <c r="K119" s="351"/>
    </row>
    <row r="120" spans="1:11">
      <c r="A120" s="351"/>
      <c r="B120" s="349"/>
      <c r="C120" s="366"/>
      <c r="D120" s="351"/>
      <c r="E120" s="351"/>
      <c r="F120" s="351"/>
      <c r="G120" s="351"/>
      <c r="H120" s="352"/>
      <c r="I120" s="351"/>
      <c r="J120" s="394"/>
      <c r="K120" s="351"/>
    </row>
    <row r="121" spans="1:11">
      <c r="A121" s="351"/>
      <c r="B121" s="349"/>
      <c r="C121" s="366"/>
      <c r="D121" s="351"/>
      <c r="E121" s="351"/>
      <c r="F121" s="351"/>
      <c r="G121" s="351"/>
      <c r="H121" s="352"/>
      <c r="I121" s="351"/>
      <c r="J121" s="394"/>
      <c r="K121" s="351"/>
    </row>
    <row r="122" spans="1:11">
      <c r="A122" s="351"/>
      <c r="B122" s="349"/>
      <c r="C122" s="366"/>
      <c r="D122" s="351"/>
      <c r="E122" s="351"/>
      <c r="F122" s="351"/>
      <c r="G122" s="351"/>
      <c r="H122" s="352"/>
      <c r="I122" s="351"/>
      <c r="J122" s="394"/>
      <c r="K122" s="351"/>
    </row>
    <row r="123" spans="1:11">
      <c r="A123" s="351"/>
      <c r="B123" s="349"/>
      <c r="C123" s="366"/>
      <c r="D123" s="351"/>
      <c r="E123" s="351"/>
      <c r="F123" s="351"/>
      <c r="G123" s="351"/>
      <c r="H123" s="352"/>
      <c r="I123" s="351"/>
      <c r="J123" s="394"/>
      <c r="K123" s="351"/>
    </row>
    <row r="124" spans="1:11">
      <c r="A124" s="351"/>
      <c r="B124" s="349"/>
      <c r="C124" s="366"/>
      <c r="D124" s="351"/>
      <c r="E124" s="351"/>
      <c r="F124" s="351"/>
      <c r="G124" s="351"/>
      <c r="H124" s="352"/>
      <c r="I124" s="351"/>
      <c r="J124" s="394"/>
      <c r="K124" s="351"/>
    </row>
    <row r="125" spans="1:11">
      <c r="A125" s="351"/>
      <c r="B125" s="349"/>
      <c r="C125" s="366"/>
      <c r="D125" s="351"/>
      <c r="E125" s="351"/>
      <c r="F125" s="351"/>
      <c r="G125" s="351"/>
      <c r="H125" s="352"/>
      <c r="I125" s="351"/>
      <c r="J125" s="394"/>
      <c r="K125" s="351"/>
    </row>
    <row r="126" spans="1:11">
      <c r="A126" s="351"/>
      <c r="B126" s="349"/>
      <c r="C126" s="366"/>
      <c r="D126" s="351"/>
      <c r="E126" s="351"/>
      <c r="F126" s="351"/>
      <c r="G126" s="351"/>
      <c r="H126" s="352"/>
      <c r="I126" s="351"/>
      <c r="J126" s="394"/>
      <c r="K126" s="351"/>
    </row>
    <row r="127" spans="1:11">
      <c r="A127" s="351"/>
      <c r="B127" s="349"/>
      <c r="C127" s="366"/>
      <c r="D127" s="351"/>
      <c r="E127" s="351"/>
      <c r="F127" s="351"/>
      <c r="G127" s="351"/>
      <c r="H127" s="352"/>
      <c r="I127" s="351"/>
      <c r="J127" s="394"/>
      <c r="K127" s="351"/>
    </row>
  </sheetData>
  <mergeCells count="14">
    <mergeCell ref="B49:E49"/>
    <mergeCell ref="F49:K49"/>
    <mergeCell ref="B39:D39"/>
    <mergeCell ref="I3:J3"/>
    <mergeCell ref="B6:D6"/>
    <mergeCell ref="B19:D19"/>
    <mergeCell ref="D5:K5"/>
    <mergeCell ref="B3:B5"/>
    <mergeCell ref="A1:R1"/>
    <mergeCell ref="I4:J4"/>
    <mergeCell ref="G4:H4"/>
    <mergeCell ref="A3:A5"/>
    <mergeCell ref="L5:Q5"/>
    <mergeCell ref="P2:Q2"/>
  </mergeCells>
  <phoneticPr fontId="22" type="noConversion"/>
  <printOptions horizontalCentered="1"/>
  <pageMargins left="0.51181102362204722" right="0" top="0.78740157480314965" bottom="0.23622047244094491" header="0.15748031496062992" footer="0.15748031496062992"/>
  <pageSetup paperSize="9" scale="54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46"/>
  <sheetViews>
    <sheetView workbookViewId="0">
      <pane xSplit="2" ySplit="4" topLeftCell="C17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5.28515625" style="150" customWidth="1"/>
    <col min="2" max="2" width="35.28515625" style="147" customWidth="1"/>
    <col min="3" max="13" width="12" style="147" customWidth="1"/>
    <col min="14" max="14" width="10.5703125" style="147" customWidth="1"/>
    <col min="15" max="16384" width="9.140625" style="147"/>
  </cols>
  <sheetData>
    <row r="1" spans="1:14" ht="24" customHeight="1">
      <c r="A1" s="556" t="s">
        <v>188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5" t="s">
        <v>191</v>
      </c>
      <c r="N1" s="555"/>
    </row>
    <row r="2" spans="1:14" s="258" customFormat="1" ht="24" customHeight="1">
      <c r="A2" s="542" t="s">
        <v>99</v>
      </c>
      <c r="B2" s="554" t="s">
        <v>129</v>
      </c>
      <c r="C2" s="546" t="s">
        <v>189</v>
      </c>
      <c r="D2" s="546"/>
      <c r="E2" s="546"/>
      <c r="F2" s="546"/>
      <c r="G2" s="546"/>
      <c r="H2" s="546"/>
      <c r="I2" s="546" t="s">
        <v>190</v>
      </c>
      <c r="J2" s="546"/>
      <c r="K2" s="546"/>
      <c r="L2" s="546"/>
      <c r="M2" s="546"/>
      <c r="N2" s="546"/>
    </row>
    <row r="3" spans="1:14" s="258" customFormat="1">
      <c r="A3" s="542"/>
      <c r="B3" s="554"/>
      <c r="C3" s="172" t="s">
        <v>55</v>
      </c>
      <c r="D3" s="172" t="s">
        <v>56</v>
      </c>
      <c r="E3" s="172" t="s">
        <v>7</v>
      </c>
      <c r="F3" s="172" t="s">
        <v>8</v>
      </c>
      <c r="G3" s="172" t="s">
        <v>9</v>
      </c>
      <c r="H3" s="245" t="s">
        <v>130</v>
      </c>
      <c r="I3" s="172" t="s">
        <v>55</v>
      </c>
      <c r="J3" s="172" t="s">
        <v>56</v>
      </c>
      <c r="K3" s="172" t="s">
        <v>7</v>
      </c>
      <c r="L3" s="172" t="s">
        <v>8</v>
      </c>
      <c r="M3" s="172" t="s">
        <v>9</v>
      </c>
      <c r="N3" s="248" t="s">
        <v>130</v>
      </c>
    </row>
    <row r="4" spans="1:14" s="258" customFormat="1">
      <c r="A4" s="190"/>
      <c r="B4" s="190"/>
      <c r="C4" s="172" t="s">
        <v>10</v>
      </c>
      <c r="D4" s="172" t="s">
        <v>10</v>
      </c>
      <c r="E4" s="172" t="s">
        <v>10</v>
      </c>
      <c r="F4" s="172" t="s">
        <v>133</v>
      </c>
      <c r="G4" s="172" t="s">
        <v>134</v>
      </c>
      <c r="H4" s="245" t="s">
        <v>172</v>
      </c>
      <c r="I4" s="172" t="s">
        <v>10</v>
      </c>
      <c r="J4" s="172" t="s">
        <v>10</v>
      </c>
      <c r="K4" s="172" t="s">
        <v>10</v>
      </c>
      <c r="L4" s="172" t="s">
        <v>133</v>
      </c>
      <c r="M4" s="172" t="s">
        <v>134</v>
      </c>
      <c r="N4" s="248" t="s">
        <v>172</v>
      </c>
    </row>
    <row r="5" spans="1:14" ht="15.75">
      <c r="A5" s="193" t="s">
        <v>137</v>
      </c>
      <c r="B5" s="194" t="s">
        <v>141</v>
      </c>
      <c r="C5" s="173"/>
      <c r="D5" s="173"/>
      <c r="E5" s="173"/>
      <c r="F5" s="173"/>
      <c r="G5" s="173"/>
      <c r="H5" s="252"/>
      <c r="I5" s="173"/>
      <c r="J5" s="173"/>
      <c r="K5" s="173"/>
      <c r="L5" s="173"/>
      <c r="M5" s="173"/>
      <c r="N5" s="276"/>
    </row>
    <row r="6" spans="1:14" ht="15.75">
      <c r="A6" s="195">
        <v>1</v>
      </c>
      <c r="B6" s="196" t="s">
        <v>14</v>
      </c>
      <c r="C6" s="173">
        <f ca="1">Borrowings!C6/'Aggregate As% of GSDP'!I6*100</f>
        <v>7.6771309771309761</v>
      </c>
      <c r="D6" s="173">
        <f ca="1">Borrowings!D6/'Aggregate As% of GSDP'!J6*100</f>
        <v>4.3536135044839117</v>
      </c>
      <c r="E6" s="173">
        <f ca="1">Borrowings!E6/'Aggregate As% of GSDP'!K6*100</f>
        <v>5.186450247000705</v>
      </c>
      <c r="F6" s="173">
        <f ca="1">Borrowings!F6/'Aggregate As% of GSDP'!L6*100</f>
        <v>1.9206850479776507</v>
      </c>
      <c r="G6" s="173">
        <f ca="1">Borrowings!G6/'Aggregate As% of GSDP'!M6*100</f>
        <v>2.8962274233194401</v>
      </c>
      <c r="H6" s="251">
        <f t="shared" ref="H6:H17" si="0">+AVERAGE(C6:G6)</f>
        <v>4.4068214399825374</v>
      </c>
      <c r="I6" s="173">
        <f ca="1">Borrowings!C6/'Aggregate As% of GSDP'!D6*100</f>
        <v>25.119553756674939</v>
      </c>
      <c r="J6" s="173">
        <f ca="1">Borrowings!D6/'Aggregate As% of GSDP'!E6*100</f>
        <v>11.792583137258639</v>
      </c>
      <c r="K6" s="173">
        <f ca="1">Borrowings!E6/'Aggregate As% of GSDP'!F6*100</f>
        <v>17.340625840581005</v>
      </c>
      <c r="L6" s="173">
        <f ca="1">Borrowings!F6/'Aggregate As% of GSDP'!G6*100</f>
        <v>7.7683400718226343</v>
      </c>
      <c r="M6" s="173">
        <f ca="1">Borrowings!G6/'Aggregate As% of GSDP'!H6*100</f>
        <v>10.263246594382103</v>
      </c>
      <c r="N6" s="255">
        <f t="shared" ref="N6:N17" si="1">+AVERAGE(I6:M6)</f>
        <v>14.456869880143865</v>
      </c>
    </row>
    <row r="7" spans="1:14" ht="15.75">
      <c r="A7" s="195">
        <v>2</v>
      </c>
      <c r="B7" s="196" t="s">
        <v>15</v>
      </c>
      <c r="C7" s="173">
        <f ca="1">Borrowings!C7/'Aggregate As% of GSDP'!I7*100</f>
        <v>0.33261579154707649</v>
      </c>
      <c r="D7" s="173">
        <f ca="1">Borrowings!D7/'Aggregate As% of GSDP'!J7*100</f>
        <v>2.2819892937316526</v>
      </c>
      <c r="E7" s="173">
        <f ca="1">Borrowings!E7/'Aggregate As% of GSDP'!K7*100</f>
        <v>3.5112199014417111</v>
      </c>
      <c r="F7" s="173">
        <f ca="1">Borrowings!F7/'Aggregate As% of GSDP'!L7*100</f>
        <v>3.9477286929769759</v>
      </c>
      <c r="G7" s="173">
        <f ca="1">Borrowings!G7/'Aggregate As% of GSDP'!M7*100</f>
        <v>3.0595712602245939</v>
      </c>
      <c r="H7" s="251">
        <f t="shared" si="0"/>
        <v>2.6266249879844019</v>
      </c>
      <c r="I7" s="173">
        <f ca="1">Borrowings!C7/'Aggregate As% of GSDP'!D7*100</f>
        <v>5.2655258509901444</v>
      </c>
      <c r="J7" s="173">
        <f ca="1">Borrowings!D7/'Aggregate As% of GSDP'!E7*100</f>
        <v>26.193139184233999</v>
      </c>
      <c r="K7" s="173">
        <f ca="1">Borrowings!E7/'Aggregate As% of GSDP'!F7*100</f>
        <v>52.034344393148388</v>
      </c>
      <c r="L7" s="173">
        <f ca="1">Borrowings!F7/'Aggregate As% of GSDP'!G7*100</f>
        <v>53.711314584695877</v>
      </c>
      <c r="M7" s="173">
        <f ca="1">Borrowings!G7/'Aggregate As% of GSDP'!H7*100</f>
        <v>39.233205517595167</v>
      </c>
      <c r="N7" s="255">
        <f t="shared" si="1"/>
        <v>35.287505906132715</v>
      </c>
    </row>
    <row r="8" spans="1:14" ht="15.75">
      <c r="A8" s="195">
        <v>3</v>
      </c>
      <c r="B8" s="196" t="s">
        <v>16</v>
      </c>
      <c r="C8" s="173">
        <f ca="1">Borrowings!C8/'Aggregate As% of GSDP'!I8*100</f>
        <v>4.1609692901098265</v>
      </c>
      <c r="D8" s="173">
        <f ca="1">Borrowings!D8/'Aggregate As% of GSDP'!J8*100</f>
        <v>4.546729985777306</v>
      </c>
      <c r="E8" s="173">
        <f ca="1">Borrowings!E8/'Aggregate As% of GSDP'!K8*100</f>
        <v>4.0481645188736017</v>
      </c>
      <c r="F8" s="173">
        <f ca="1">Borrowings!F8/'Aggregate As% of GSDP'!L8*100</f>
        <v>2.8710953509506583</v>
      </c>
      <c r="G8" s="173">
        <f ca="1">Borrowings!G8/'Aggregate As% of GSDP'!M8*100</f>
        <v>2.8927381535109187</v>
      </c>
      <c r="H8" s="251">
        <f t="shared" si="0"/>
        <v>3.7039394598444622</v>
      </c>
      <c r="I8" s="173">
        <f ca="1">Borrowings!C8/'Aggregate As% of GSDP'!D8*100</f>
        <v>51.115861510192865</v>
      </c>
      <c r="J8" s="173">
        <f ca="1">Borrowings!D8/'Aggregate As% of GSDP'!E8*100</f>
        <v>95.276390032480819</v>
      </c>
      <c r="K8" s="173">
        <f ca="1">Borrowings!E8/'Aggregate As% of GSDP'!F8*100</f>
        <v>87.56486219588831</v>
      </c>
      <c r="L8" s="173">
        <f ca="1">Borrowings!F8/'Aggregate As% of GSDP'!G8*100</f>
        <v>53.049499213096183</v>
      </c>
      <c r="M8" s="173">
        <f ca="1">Borrowings!G8/'Aggregate As% of GSDP'!H8*100</f>
        <v>55.515151515151516</v>
      </c>
      <c r="N8" s="255">
        <f t="shared" si="1"/>
        <v>68.504352893361926</v>
      </c>
    </row>
    <row r="9" spans="1:14" ht="15.75">
      <c r="A9" s="195">
        <v>4</v>
      </c>
      <c r="B9" s="196" t="s">
        <v>142</v>
      </c>
      <c r="C9" s="173">
        <f ca="1">Borrowings!C9/'Aggregate As% of GSDP'!I9*100</f>
        <v>6.955200948812637</v>
      </c>
      <c r="D9" s="173">
        <f ca="1">Borrowings!D9/'Aggregate As% of GSDP'!J9*100</f>
        <v>7.2424908424908425</v>
      </c>
      <c r="E9" s="173">
        <f ca="1">Borrowings!E9/'Aggregate As% of GSDP'!K9*100</f>
        <v>4.4228225373072636</v>
      </c>
      <c r="F9" s="173">
        <f ca="1">Borrowings!F9/'Aggregate As% of GSDP'!L9*100</f>
        <v>6.4206615445658839</v>
      </c>
      <c r="G9" s="173">
        <f ca="1">Borrowings!G9/'Aggregate As% of GSDP'!M9*100</f>
        <v>6.2573715579738636</v>
      </c>
      <c r="H9" s="251">
        <f t="shared" si="0"/>
        <v>6.2597094862300988</v>
      </c>
      <c r="I9" s="173">
        <f ca="1">Borrowings!C9/'Aggregate As% of GSDP'!D9*100</f>
        <v>61.960402934361106</v>
      </c>
      <c r="J9" s="173">
        <f ca="1">Borrowings!D9/'Aggregate As% of GSDP'!E9*100</f>
        <v>61.217901980563902</v>
      </c>
      <c r="K9" s="173">
        <f ca="1">Borrowings!E9/'Aggregate As% of GSDP'!F9*100</f>
        <v>31.993403514437663</v>
      </c>
      <c r="L9" s="173">
        <f ca="1">Borrowings!F9/'Aggregate As% of GSDP'!G9*100</f>
        <v>61.71929854976986</v>
      </c>
      <c r="M9" s="173">
        <f ca="1">Borrowings!G9/'Aggregate As% of GSDP'!H9*100</f>
        <v>83.359171394333444</v>
      </c>
      <c r="N9" s="255">
        <f t="shared" si="1"/>
        <v>60.050035674693198</v>
      </c>
    </row>
    <row r="10" spans="1:14" ht="15.75">
      <c r="A10" s="195">
        <v>5</v>
      </c>
      <c r="B10" s="196" t="s">
        <v>18</v>
      </c>
      <c r="C10" s="173">
        <f ca="1">Borrowings!C10/'Aggregate As% of GSDP'!I10*100</f>
        <v>3.7188559634380067</v>
      </c>
      <c r="D10" s="173">
        <f ca="1">Borrowings!D10/'Aggregate As% of GSDP'!J10*100</f>
        <v>3.4810109474253288</v>
      </c>
      <c r="E10" s="173">
        <f ca="1">Borrowings!E10/'Aggregate As% of GSDP'!K10*100</f>
        <v>5.1296608130863603</v>
      </c>
      <c r="F10" s="173">
        <f ca="1">Borrowings!F10/'Aggregate As% of GSDP'!L10*100</f>
        <v>2.4487932159165031</v>
      </c>
      <c r="G10" s="173">
        <f ca="1">Borrowings!G10/'Aggregate As% of GSDP'!M10*100</f>
        <v>3.6611700039261876</v>
      </c>
      <c r="H10" s="251">
        <f t="shared" si="0"/>
        <v>3.687898188758477</v>
      </c>
      <c r="I10" s="173">
        <f ca="1">Borrowings!C10/'Aggregate As% of GSDP'!D10*100</f>
        <v>19.346698981470123</v>
      </c>
      <c r="J10" s="173">
        <f ca="1">Borrowings!D10/'Aggregate As% of GSDP'!E10*100</f>
        <v>16.076299380192349</v>
      </c>
      <c r="K10" s="173">
        <f ca="1">Borrowings!E10/'Aggregate As% of GSDP'!F10*100</f>
        <v>23.012421354801784</v>
      </c>
      <c r="L10" s="173">
        <f ca="1">Borrowings!F10/'Aggregate As% of GSDP'!G10*100</f>
        <v>7.9464591263975271</v>
      </c>
      <c r="M10" s="173">
        <f ca="1">Borrowings!G10/'Aggregate As% of GSDP'!H10*100</f>
        <v>16.530362087083883</v>
      </c>
      <c r="N10" s="255">
        <f t="shared" si="1"/>
        <v>16.582448185989133</v>
      </c>
    </row>
    <row r="11" spans="1:14" ht="15.75">
      <c r="A11" s="195">
        <v>6</v>
      </c>
      <c r="B11" s="196" t="s">
        <v>19</v>
      </c>
      <c r="C11" s="173">
        <f ca="1">Borrowings!C11/'Aggregate As% of GSDP'!I11*100</f>
        <v>1.9445300462249615</v>
      </c>
      <c r="D11" s="173">
        <f ca="1">Borrowings!D11/'Aggregate As% of GSDP'!J11*100</f>
        <v>1.7324610484634584</v>
      </c>
      <c r="E11" s="173">
        <f ca="1">Borrowings!E11/'Aggregate As% of GSDP'!K11*100</f>
        <v>2.5615705405618066</v>
      </c>
      <c r="F11" s="173">
        <f ca="1">Borrowings!F11/'Aggregate As% of GSDP'!L11*100</f>
        <v>2.0977566377963939</v>
      </c>
      <c r="G11" s="173">
        <f ca="1">Borrowings!G11/'Aggregate As% of GSDP'!M11*100</f>
        <v>2.9317395407360807</v>
      </c>
      <c r="H11" s="251">
        <f t="shared" si="0"/>
        <v>2.2536115627565403</v>
      </c>
      <c r="I11" s="173">
        <f ca="1">Borrowings!C11/'Aggregate As% of GSDP'!D11*100</f>
        <v>21.991937451351699</v>
      </c>
      <c r="J11" s="173">
        <f ca="1">Borrowings!D11/'Aggregate As% of GSDP'!E11*100</f>
        <v>15.588137339188757</v>
      </c>
      <c r="K11" s="173">
        <f ca="1">Borrowings!E11/'Aggregate As% of GSDP'!F11*100</f>
        <v>24.057077828027548</v>
      </c>
      <c r="L11" s="173">
        <f ca="1">Borrowings!F11/'Aggregate As% of GSDP'!G11*100</f>
        <v>34.790543245343443</v>
      </c>
      <c r="M11" s="173">
        <f ca="1">Borrowings!G11/'Aggregate As% of GSDP'!H11*100</f>
        <v>17.08837550421709</v>
      </c>
      <c r="N11" s="255">
        <f t="shared" si="1"/>
        <v>22.703214273625708</v>
      </c>
    </row>
    <row r="12" spans="1:14" ht="15.75">
      <c r="A12" s="195">
        <v>7</v>
      </c>
      <c r="B12" s="196" t="s">
        <v>20</v>
      </c>
      <c r="C12" s="173">
        <f ca="1">Borrowings!C12/'Aggregate As% of GSDP'!I12*100</f>
        <v>7.0746855345911968</v>
      </c>
      <c r="D12" s="173">
        <f ca="1">Borrowings!D12/'Aggregate As% of GSDP'!J12*100</f>
        <v>5.5914354380598645</v>
      </c>
      <c r="E12" s="173">
        <f ca="1">Borrowings!E12/'Aggregate As% of GSDP'!K12*100</f>
        <v>3.8300380228136888</v>
      </c>
      <c r="F12" s="173">
        <f ca="1">Borrowings!F12/'Aggregate As% of GSDP'!L12*100</f>
        <v>8.0221195113898975</v>
      </c>
      <c r="G12" s="173">
        <f ca="1">Borrowings!G12/'Aggregate As% of GSDP'!M12*100</f>
        <v>6.5248411201187242</v>
      </c>
      <c r="H12" s="251">
        <f t="shared" si="0"/>
        <v>6.208623925394674</v>
      </c>
      <c r="I12" s="173">
        <f ca="1">Borrowings!C12/'Aggregate As% of GSDP'!D12*100</f>
        <v>25.904602895880714</v>
      </c>
      <c r="J12" s="173">
        <f ca="1">Borrowings!D12/'Aggregate As% of GSDP'!E12*100</f>
        <v>30.120992420319197</v>
      </c>
      <c r="K12" s="173">
        <f ca="1">Borrowings!E12/'Aggregate As% of GSDP'!F12*100</f>
        <v>21.613097026133978</v>
      </c>
      <c r="L12" s="173">
        <f ca="1">Borrowings!F12/'Aggregate As% of GSDP'!G12*100</f>
        <v>38.439877873222287</v>
      </c>
      <c r="M12" s="173">
        <f ca="1">Borrowings!G12/'Aggregate As% of GSDP'!H12*100</f>
        <v>27.642390081783354</v>
      </c>
      <c r="N12" s="255">
        <f t="shared" si="1"/>
        <v>28.744192059467906</v>
      </c>
    </row>
    <row r="13" spans="1:14" ht="15.75">
      <c r="A13" s="195">
        <v>8</v>
      </c>
      <c r="B13" s="196" t="s">
        <v>21</v>
      </c>
      <c r="C13" s="173">
        <f ca="1">Borrowings!C13/'Aggregate As% of GSDP'!I13*100</f>
        <v>4.440371517027863</v>
      </c>
      <c r="D13" s="173">
        <f ca="1">Borrowings!D13/'Aggregate As% of GSDP'!J13*100</f>
        <v>5.2201144552776597</v>
      </c>
      <c r="E13" s="173">
        <f ca="1">Borrowings!E13/'Aggregate As% of GSDP'!K13*100</f>
        <v>4.8980679546968675</v>
      </c>
      <c r="F13" s="173">
        <f ca="1">Borrowings!F13/'Aggregate As% of GSDP'!L13*100</f>
        <v>2.1355674709562114</v>
      </c>
      <c r="G13" s="173">
        <f ca="1">Borrowings!G13/'Aggregate As% of GSDP'!M13*100</f>
        <v>3.5025548046810622</v>
      </c>
      <c r="H13" s="251">
        <f t="shared" si="0"/>
        <v>4.0393352405279321</v>
      </c>
      <c r="I13" s="173">
        <f ca="1">Borrowings!C13/'Aggregate As% of GSDP'!D13*100</f>
        <v>42.49650366226561</v>
      </c>
      <c r="J13" s="173">
        <f ca="1">Borrowings!D13/'Aggregate As% of GSDP'!E13*100</f>
        <v>47.49768572089792</v>
      </c>
      <c r="K13" s="173">
        <f ca="1">Borrowings!E13/'Aggregate As% of GSDP'!F13*100</f>
        <v>50.37696090000361</v>
      </c>
      <c r="L13" s="173">
        <f ca="1">Borrowings!F13/'Aggregate As% of GSDP'!G13*100</f>
        <v>15.689299736071542</v>
      </c>
      <c r="M13" s="173">
        <f ca="1">Borrowings!G13/'Aggregate As% of GSDP'!H13*100</f>
        <v>25.090843968710402</v>
      </c>
      <c r="N13" s="255">
        <f t="shared" si="1"/>
        <v>36.230258797589819</v>
      </c>
    </row>
    <row r="14" spans="1:14" ht="15.75">
      <c r="A14" s="195">
        <v>9</v>
      </c>
      <c r="B14" s="196" t="s">
        <v>22</v>
      </c>
      <c r="C14" s="173">
        <f ca="1">Borrowings!C14/'Aggregate As% of GSDP'!I14*100</f>
        <v>9.4856344772545889</v>
      </c>
      <c r="D14" s="173">
        <f ca="1">Borrowings!D14/'Aggregate As% of GSDP'!J14*100</f>
        <v>8.9244348095385568</v>
      </c>
      <c r="E14" s="173">
        <f ca="1">Borrowings!E14/'Aggregate As% of GSDP'!K14*100</f>
        <v>6.347953693135497</v>
      </c>
      <c r="F14" s="173">
        <f ca="1">Borrowings!F14/'Aggregate As% of GSDP'!L14*100</f>
        <v>1.6380685794261722</v>
      </c>
      <c r="G14" s="173">
        <f ca="1">Borrowings!G14/'Aggregate As% of GSDP'!M14*100</f>
        <v>1.7553571428571428</v>
      </c>
      <c r="H14" s="251">
        <f t="shared" si="0"/>
        <v>5.6302897404423913</v>
      </c>
      <c r="I14" s="173">
        <f ca="1">Borrowings!C14/'Aggregate As% of GSDP'!D14*100</f>
        <v>30.853797829811526</v>
      </c>
      <c r="J14" s="173">
        <f ca="1">Borrowings!D14/'Aggregate As% of GSDP'!E14*100</f>
        <v>30.916542393974826</v>
      </c>
      <c r="K14" s="173">
        <f ca="1">Borrowings!E14/'Aggregate As% of GSDP'!F14*100</f>
        <v>31.82773195117764</v>
      </c>
      <c r="L14" s="173">
        <f ca="1">Borrowings!F14/'Aggregate As% of GSDP'!G14*100</f>
        <v>17.374007273806875</v>
      </c>
      <c r="M14" s="173">
        <f ca="1">Borrowings!G14/'Aggregate As% of GSDP'!H14*100</f>
        <v>10.136111046907336</v>
      </c>
      <c r="N14" s="255">
        <f t="shared" si="1"/>
        <v>24.221638099135639</v>
      </c>
    </row>
    <row r="15" spans="1:14" ht="15.75">
      <c r="A15" s="195">
        <v>10</v>
      </c>
      <c r="B15" s="196" t="s">
        <v>23</v>
      </c>
      <c r="C15" s="173">
        <f ca="1">Borrowings!C15/'Aggregate As% of GSDP'!I15*100</f>
        <v>7.2052216665253873E-3</v>
      </c>
      <c r="D15" s="173">
        <f ca="1">Borrowings!D15/'Aggregate As% of GSDP'!J15*100</f>
        <v>0.4826493774405069</v>
      </c>
      <c r="E15" s="173">
        <f ca="1">Borrowings!E15/'Aggregate As% of GSDP'!K15*100</f>
        <v>4.0331639301537656</v>
      </c>
      <c r="F15" s="173">
        <f ca="1">Borrowings!F15/'Aggregate As% of GSDP'!L15*100</f>
        <v>3.1843331224478058</v>
      </c>
      <c r="G15" s="173">
        <f ca="1">Borrowings!G15/'Aggregate As% of GSDP'!M15*100</f>
        <v>2.5746287567786732</v>
      </c>
      <c r="H15" s="251">
        <f t="shared" si="0"/>
        <v>2.0563960816974558</v>
      </c>
      <c r="I15" s="173">
        <f ca="1">Borrowings!C15/'Aggregate As% of GSDP'!D15*100</f>
        <v>7.1009674023825825E-2</v>
      </c>
      <c r="J15" s="173">
        <f ca="1">Borrowings!D15/'Aggregate As% of GSDP'!E15*100</f>
        <v>3.6849328938338832</v>
      </c>
      <c r="K15" s="173">
        <f ca="1">Borrowings!E15/'Aggregate As% of GSDP'!F15*100</f>
        <v>34.75690213759917</v>
      </c>
      <c r="L15" s="173">
        <f ca="1">Borrowings!F15/'Aggregate As% of GSDP'!G15*100</f>
        <v>29.740923179398475</v>
      </c>
      <c r="M15" s="173">
        <f ca="1">Borrowings!G15/'Aggregate As% of GSDP'!H15*100</f>
        <v>25.770319491086919</v>
      </c>
      <c r="N15" s="255">
        <f t="shared" si="1"/>
        <v>18.804817475188454</v>
      </c>
    </row>
    <row r="16" spans="1:14" ht="15.75">
      <c r="A16" s="195">
        <v>11</v>
      </c>
      <c r="B16" s="196" t="s">
        <v>24</v>
      </c>
      <c r="C16" s="173">
        <f ca="1">Borrowings!C16/'Aggregate As% of GSDP'!I16*100</f>
        <v>2.4055957780879265</v>
      </c>
      <c r="D16" s="173">
        <f ca="1">Borrowings!D16/'Aggregate As% of GSDP'!J16*100</f>
        <v>2.5427576974564925</v>
      </c>
      <c r="E16" s="173">
        <f ca="1">Borrowings!E16/'Aggregate As% of GSDP'!K16*100</f>
        <v>2.4299625996753935</v>
      </c>
      <c r="F16" s="173">
        <f ca="1">Borrowings!F16/'Aggregate As% of GSDP'!L16*100</f>
        <v>2.1028377395100653</v>
      </c>
      <c r="G16" s="173">
        <f ca="1">Borrowings!G16/'Aggregate As% of GSDP'!M16*100</f>
        <v>1.8938886566317579</v>
      </c>
      <c r="H16" s="251">
        <f t="shared" si="0"/>
        <v>2.2750084942723268</v>
      </c>
      <c r="I16" s="173">
        <f ca="1">Borrowings!C16/'Aggregate As% of GSDP'!D16*100</f>
        <v>22.892226386832419</v>
      </c>
      <c r="J16" s="173">
        <f ca="1">Borrowings!D16/'Aggregate As% of GSDP'!E16*100</f>
        <v>34.792603746447341</v>
      </c>
      <c r="K16" s="173">
        <f ca="1">Borrowings!E16/'Aggregate As% of GSDP'!F16*100</f>
        <v>36.291468285251035</v>
      </c>
      <c r="L16" s="173">
        <f ca="1">Borrowings!F16/'Aggregate As% of GSDP'!G16*100</f>
        <v>27.060572891991519</v>
      </c>
      <c r="M16" s="173">
        <f ca="1">Borrowings!G16/'Aggregate As% of GSDP'!H16*100</f>
        <v>23.115373877278834</v>
      </c>
      <c r="N16" s="255">
        <f t="shared" si="1"/>
        <v>28.830449037560232</v>
      </c>
    </row>
    <row r="17" spans="1:14" ht="15.75">
      <c r="A17" s="193"/>
      <c r="B17" s="194" t="s">
        <v>143</v>
      </c>
      <c r="C17" s="182">
        <f ca="1">Borrowings!C17/'Aggregate As% of GSDP'!I17*100</f>
        <v>2.9768380916795465</v>
      </c>
      <c r="D17" s="182">
        <f ca="1">Borrowings!D17/'Aggregate As% of GSDP'!J17*100</f>
        <v>3.6300634914892465</v>
      </c>
      <c r="E17" s="182">
        <f ca="1">Borrowings!E17/'Aggregate As% of GSDP'!K17*100</f>
        <v>3.6595375385154174</v>
      </c>
      <c r="F17" s="182">
        <f ca="1">Borrowings!F17/'Aggregate As% of GSDP'!L17*100</f>
        <v>3.5240145743623721</v>
      </c>
      <c r="G17" s="182">
        <f ca="1">Borrowings!G17/'Aggregate As% of GSDP'!M17*100</f>
        <v>3.279450762884776</v>
      </c>
      <c r="H17" s="251">
        <f t="shared" si="0"/>
        <v>3.4139808917862715</v>
      </c>
      <c r="I17" s="182">
        <f ca="1">Borrowings!C17/'Aggregate As% of GSDP'!D17*100</f>
        <v>29.550014257752089</v>
      </c>
      <c r="J17" s="182">
        <f ca="1">Borrowings!D17/'Aggregate As% of GSDP'!E17*100</f>
        <v>36.181022917250331</v>
      </c>
      <c r="K17" s="182">
        <f ca="1">Borrowings!E17/'Aggregate As% of GSDP'!F17*100</f>
        <v>39.443142031445063</v>
      </c>
      <c r="L17" s="182">
        <f ca="1">Borrowings!F17/'Aggregate As% of GSDP'!G17*100</f>
        <v>38.601503097481277</v>
      </c>
      <c r="M17" s="182">
        <f ca="1">Borrowings!G17/'Aggregate As% of GSDP'!H17*100</f>
        <v>35.136966824571807</v>
      </c>
      <c r="N17" s="255">
        <f t="shared" si="1"/>
        <v>35.782529825700109</v>
      </c>
    </row>
    <row r="18" spans="1:14" ht="15.75">
      <c r="A18" s="193" t="s">
        <v>140</v>
      </c>
      <c r="B18" s="194" t="s">
        <v>275</v>
      </c>
      <c r="C18" s="172"/>
      <c r="D18" s="172"/>
      <c r="E18" s="172"/>
      <c r="F18" s="172"/>
      <c r="G18" s="172"/>
      <c r="H18" s="245"/>
      <c r="I18" s="172"/>
      <c r="J18" s="172"/>
      <c r="K18" s="172"/>
      <c r="L18" s="172"/>
      <c r="M18" s="172"/>
      <c r="N18" s="248"/>
    </row>
    <row r="19" spans="1:14" ht="15.75">
      <c r="A19" s="195">
        <v>1</v>
      </c>
      <c r="B19" s="196" t="s">
        <v>27</v>
      </c>
      <c r="C19" s="173">
        <f ca="1">Borrowings!C19/'Aggregate As% of GSDP'!I19*100</f>
        <v>1.9153045532916864</v>
      </c>
      <c r="D19" s="173">
        <f ca="1">Borrowings!D19/'Aggregate As% of GSDP'!J19*100</f>
        <v>2.5842770611460644</v>
      </c>
      <c r="E19" s="173">
        <f ca="1">Borrowings!E19/'Aggregate As% of GSDP'!K19*100</f>
        <v>2.9351849774984657</v>
      </c>
      <c r="F19" s="173">
        <f ca="1">Borrowings!F19/'Aggregate As% of GSDP'!L19*100</f>
        <v>2.1060677835449764</v>
      </c>
      <c r="G19" s="173">
        <f ca="1">Borrowings!G19/'Aggregate As% of GSDP'!M19*100</f>
        <v>2.6522718327074069</v>
      </c>
      <c r="H19" s="251">
        <f ca="1">+AVERAGE(C19:G19)</f>
        <v>2.43862124163772</v>
      </c>
      <c r="I19" s="173">
        <f ca="1">Borrowings!C19/'Aggregate As% of GSDP'!D19*100</f>
        <v>25.709191283877409</v>
      </c>
      <c r="J19" s="173">
        <f ca="1">Borrowings!D19/'Aggregate As% of GSDP'!E19*100</f>
        <v>36.006626207276618</v>
      </c>
      <c r="K19" s="173">
        <f ca="1">Borrowings!E19/'Aggregate As% of GSDP'!F19*100</f>
        <v>48.952040877054266</v>
      </c>
      <c r="L19" s="173">
        <f ca="1">Borrowings!F19/'Aggregate As% of GSDP'!G19*100</f>
        <v>39.261847040997488</v>
      </c>
      <c r="M19" s="173">
        <f ca="1">Borrowings!G19/'Aggregate As% of GSDP'!H19*100</f>
        <v>44.618675121080805</v>
      </c>
      <c r="N19" s="255">
        <f>+AVERAGE(I19:M19)</f>
        <v>38.909676106057319</v>
      </c>
    </row>
    <row r="20" spans="1:14" ht="15.75">
      <c r="A20" s="195">
        <v>2</v>
      </c>
      <c r="B20" s="196" t="s">
        <v>28</v>
      </c>
      <c r="C20" s="173">
        <f ca="1">Borrowings!C20/'Aggregate As% of GSDP'!I20*100</f>
        <v>1.6309904996481348</v>
      </c>
      <c r="D20" s="173">
        <f ca="1">Borrowings!D20/'Aggregate As% of GSDP'!J20*100</f>
        <v>3.1774049578644776</v>
      </c>
      <c r="E20" s="173">
        <f ca="1">Borrowings!E20/'Aggregate As% of GSDP'!K20*100</f>
        <v>2.4058852258852261</v>
      </c>
      <c r="F20" s="173">
        <f ca="1">Borrowings!F20/'Aggregate As% of GSDP'!L20*100</f>
        <v>2.0613258956880149</v>
      </c>
      <c r="G20" s="173">
        <f ca="1">Borrowings!G20/'Aggregate As% of GSDP'!M20*100</f>
        <v>1.9138681567429383</v>
      </c>
      <c r="H20" s="251">
        <f t="shared" ref="H20:H36" si="2">+AVERAGE(C20:G20)</f>
        <v>2.2378949471657581</v>
      </c>
      <c r="I20" s="173">
        <f ca="1">Borrowings!C20/'Aggregate As% of GSDP'!D20*100</f>
        <v>17.766174979733961</v>
      </c>
      <c r="J20" s="173">
        <f ca="1">Borrowings!D20/'Aggregate As% of GSDP'!E20*100</f>
        <v>33.015624942944669</v>
      </c>
      <c r="K20" s="173">
        <f ca="1">Borrowings!E20/'Aggregate As% of GSDP'!F20*100</f>
        <v>24.04929420602679</v>
      </c>
      <c r="L20" s="173">
        <f ca="1">Borrowings!F20/'Aggregate As% of GSDP'!G20*100</f>
        <v>21.545644770343113</v>
      </c>
      <c r="M20" s="173">
        <f ca="1">Borrowings!G20/'Aggregate As% of GSDP'!H20*100</f>
        <v>21.8124131935853</v>
      </c>
      <c r="N20" s="255">
        <f t="shared" ref="N20:N36" si="3">+AVERAGE(I20:M20)</f>
        <v>23.637830418526768</v>
      </c>
    </row>
    <row r="21" spans="1:14" ht="15.75">
      <c r="A21" s="195">
        <v>3</v>
      </c>
      <c r="B21" s="196" t="s">
        <v>29</v>
      </c>
      <c r="C21" s="173">
        <f ca="1">Borrowings!C21/'Aggregate As% of GSDP'!I21*100</f>
        <v>-0.30776898635599031</v>
      </c>
      <c r="D21" s="173">
        <f ca="1">Borrowings!D21/'Aggregate As% of GSDP'!J21*100</f>
        <v>-6.6462484016004603E-2</v>
      </c>
      <c r="E21" s="173">
        <f ca="1">Borrowings!E21/'Aggregate As% of GSDP'!K21*100</f>
        <v>0.90528097358505766</v>
      </c>
      <c r="F21" s="173">
        <f ca="1">Borrowings!F21/'Aggregate As% of GSDP'!L21*100</f>
        <v>2.231144794032339</v>
      </c>
      <c r="G21" s="173">
        <f ca="1">Borrowings!G21/'Aggregate As% of GSDP'!M21*100</f>
        <v>2.3454875457443043</v>
      </c>
      <c r="H21" s="251">
        <f t="shared" si="2"/>
        <v>1.0215363685979413</v>
      </c>
      <c r="I21" s="173">
        <f ca="1">Borrowings!C21/'Aggregate As% of GSDP'!D21*100</f>
        <v>-4.0838596607255031</v>
      </c>
      <c r="J21" s="173">
        <f ca="1">Borrowings!D21/'Aggregate As% of GSDP'!E21*100</f>
        <v>-0.98341845103583159</v>
      </c>
      <c r="K21" s="173">
        <f ca="1">Borrowings!E21/'Aggregate As% of GSDP'!F21*100</f>
        <v>9.4641576362565907</v>
      </c>
      <c r="L21" s="173">
        <f ca="1">Borrowings!F21/'Aggregate As% of GSDP'!G21*100</f>
        <v>23.143203251759946</v>
      </c>
      <c r="M21" s="173">
        <f ca="1">Borrowings!G21/'Aggregate As% of GSDP'!H21*100</f>
        <v>20.288352982547057</v>
      </c>
      <c r="N21" s="255">
        <f t="shared" si="3"/>
        <v>9.5656871517604518</v>
      </c>
    </row>
    <row r="22" spans="1:14" ht="15.75">
      <c r="A22" s="195">
        <v>4</v>
      </c>
      <c r="B22" s="196" t="s">
        <v>30</v>
      </c>
      <c r="C22" s="173">
        <f ca="1">Borrowings!C22/'Aggregate As% of GSDP'!I22*100</f>
        <v>2.7909021211346792</v>
      </c>
      <c r="D22" s="173">
        <f ca="1">Borrowings!D22/'Aggregate As% of GSDP'!J22*100</f>
        <v>2.7943653104588018</v>
      </c>
      <c r="E22" s="173">
        <f ca="1">Borrowings!E22/'Aggregate As% of GSDP'!K22*100</f>
        <v>2.85964430405823</v>
      </c>
      <c r="F22" s="173">
        <f ca="1">Borrowings!F22/'Aggregate As% of GSDP'!L22*100</f>
        <v>2.9752172711359526</v>
      </c>
      <c r="G22" s="173">
        <f ca="1">Borrowings!G22/'Aggregate As% of GSDP'!M22*100</f>
        <v>2.5313315339631131</v>
      </c>
      <c r="H22" s="251">
        <f t="shared" si="2"/>
        <v>2.7902921081501555</v>
      </c>
      <c r="I22" s="173">
        <f ca="1">Borrowings!C22/'Aggregate As% of GSDP'!D22*100</f>
        <v>43.162487747810509</v>
      </c>
      <c r="J22" s="173">
        <f ca="1">Borrowings!D22/'Aggregate As% of GSDP'!E22*100</f>
        <v>43.733378940460369</v>
      </c>
      <c r="K22" s="173">
        <f ca="1">Borrowings!E22/'Aggregate As% of GSDP'!F22*100</f>
        <v>37.361336018768156</v>
      </c>
      <c r="L22" s="173">
        <f ca="1">Borrowings!F22/'Aggregate As% of GSDP'!G22*100</f>
        <v>39.658602480658246</v>
      </c>
      <c r="M22" s="173">
        <f ca="1">Borrowings!G22/'Aggregate As% of GSDP'!H22*100</f>
        <v>34.207298300631955</v>
      </c>
      <c r="N22" s="255">
        <f t="shared" si="3"/>
        <v>39.624620697665847</v>
      </c>
    </row>
    <row r="23" spans="1:14" ht="15.75">
      <c r="A23" s="195">
        <v>5</v>
      </c>
      <c r="B23" s="196" t="s">
        <v>31</v>
      </c>
      <c r="C23" s="173">
        <f ca="1">Borrowings!C23/'Aggregate As% of GSDP'!I23*100</f>
        <v>2.1384120139089235</v>
      </c>
      <c r="D23" s="173">
        <f ca="1">Borrowings!D23/'Aggregate As% of GSDP'!J23*100</f>
        <v>2.1600681684750702</v>
      </c>
      <c r="E23" s="173">
        <f ca="1">Borrowings!E23/'Aggregate As% of GSDP'!K23*100</f>
        <v>2.7315479879781548</v>
      </c>
      <c r="F23" s="173">
        <f ca="1">Borrowings!F23/'Aggregate As% of GSDP'!L23*100</f>
        <v>2.8251369421228318</v>
      </c>
      <c r="G23" s="173">
        <f ca="1">Borrowings!G23/'Aggregate As% of GSDP'!M23*100</f>
        <v>2.6419556491587293</v>
      </c>
      <c r="H23" s="251">
        <f t="shared" si="2"/>
        <v>2.4994241523287419</v>
      </c>
      <c r="I23" s="173">
        <f ca="1">Borrowings!C23/'Aggregate As% of GSDP'!D23*100</f>
        <v>44.66486775869766</v>
      </c>
      <c r="J23" s="173">
        <f ca="1">Borrowings!D23/'Aggregate As% of GSDP'!E23*100</f>
        <v>36.220843159006826</v>
      </c>
      <c r="K23" s="173">
        <f ca="1">Borrowings!E23/'Aggregate As% of GSDP'!F23*100</f>
        <v>51.717217610176547</v>
      </c>
      <c r="L23" s="173">
        <f ca="1">Borrowings!F23/'Aggregate As% of GSDP'!G23*100</f>
        <v>52.617340541168325</v>
      </c>
      <c r="M23" s="173">
        <f ca="1">Borrowings!G23/'Aggregate As% of GSDP'!H23*100</f>
        <v>38.724998368352949</v>
      </c>
      <c r="N23" s="255">
        <f t="shared" si="3"/>
        <v>44.789053487480459</v>
      </c>
    </row>
    <row r="24" spans="1:14" ht="15.75">
      <c r="A24" s="195">
        <v>6</v>
      </c>
      <c r="B24" s="196" t="s">
        <v>32</v>
      </c>
      <c r="C24" s="173">
        <f ca="1">Borrowings!C24/'Aggregate As% of GSDP'!I24*100</f>
        <v>0.3726689227075129</v>
      </c>
      <c r="D24" s="173">
        <f ca="1">Borrowings!D24/'Aggregate As% of GSDP'!J24*100</f>
        <v>1.8241734755947197</v>
      </c>
      <c r="E24" s="173">
        <f ca="1">Borrowings!E24/'Aggregate As% of GSDP'!K24*100</f>
        <v>2.6335729333935682</v>
      </c>
      <c r="F24" s="173">
        <f ca="1">Borrowings!F24/'Aggregate As% of GSDP'!L24*100</f>
        <v>2.5264248508381475</v>
      </c>
      <c r="G24" s="173">
        <f ca="1">Borrowings!G24/'Aggregate As% of GSDP'!M24*100</f>
        <v>2.6419112910795839</v>
      </c>
      <c r="H24" s="251">
        <f t="shared" si="2"/>
        <v>1.9997502947227066</v>
      </c>
      <c r="I24" s="173">
        <f ca="1">Borrowings!C24/'Aggregate As% of GSDP'!D24*100</f>
        <v>5.2750803017853141</v>
      </c>
      <c r="J24" s="173">
        <f ca="1">Borrowings!D24/'Aggregate As% of GSDP'!E24*100</f>
        <v>24.036158541296455</v>
      </c>
      <c r="K24" s="173">
        <f ca="1">Borrowings!E24/'Aggregate As% of GSDP'!F24*100</f>
        <v>31.115618425426465</v>
      </c>
      <c r="L24" s="173">
        <f ca="1">Borrowings!F24/'Aggregate As% of GSDP'!G24*100</f>
        <v>42.419337090722436</v>
      </c>
      <c r="M24" s="173">
        <f ca="1">Borrowings!G24/'Aggregate As% of GSDP'!H24*100</f>
        <v>40.549207770225784</v>
      </c>
      <c r="N24" s="255">
        <f t="shared" si="3"/>
        <v>28.679080425891289</v>
      </c>
    </row>
    <row r="25" spans="1:14" ht="15.75">
      <c r="A25" s="195">
        <v>7</v>
      </c>
      <c r="B25" s="196" t="s">
        <v>33</v>
      </c>
      <c r="C25" s="173">
        <f ca="1">Borrowings!C25/'Aggregate As% of GSDP'!I25*100</f>
        <v>1.5852531268612267</v>
      </c>
      <c r="D25" s="173">
        <f ca="1">Borrowings!D25/'Aggregate As% of GSDP'!J25*100</f>
        <v>1.9806250996651251</v>
      </c>
      <c r="E25" s="173">
        <f ca="1">Borrowings!E25/'Aggregate As% of GSDP'!K25*100</f>
        <v>2.4464276840818515</v>
      </c>
      <c r="F25" s="173">
        <f ca="1">Borrowings!F25/'Aggregate As% of GSDP'!L25*100</f>
        <v>1.0326966720041546</v>
      </c>
      <c r="G25" s="173">
        <f ca="1">Borrowings!G25/'Aggregate As% of GSDP'!M25*100</f>
        <v>3.1730585035056129</v>
      </c>
      <c r="H25" s="251">
        <f t="shared" si="2"/>
        <v>2.0436122172235942</v>
      </c>
      <c r="I25" s="173">
        <f ca="1">Borrowings!C25/'Aggregate As% of GSDP'!D25*100</f>
        <v>24.090335590636975</v>
      </c>
      <c r="J25" s="173">
        <f ca="1">Borrowings!D25/'Aggregate As% of GSDP'!E25*100</f>
        <v>26.079672682387638</v>
      </c>
      <c r="K25" s="173">
        <f ca="1">Borrowings!E25/'Aggregate As% of GSDP'!F25*100</f>
        <v>36.486877074196009</v>
      </c>
      <c r="L25" s="173">
        <f ca="1">Borrowings!F25/'Aggregate As% of GSDP'!G25*100</f>
        <v>13.994914576762326</v>
      </c>
      <c r="M25" s="173">
        <f ca="1">Borrowings!G25/'Aggregate As% of GSDP'!H25*100</f>
        <v>27.065359477124179</v>
      </c>
      <c r="N25" s="255">
        <f t="shared" si="3"/>
        <v>25.543431880221426</v>
      </c>
    </row>
    <row r="26" spans="1:14" ht="15.75">
      <c r="A26" s="195">
        <v>8</v>
      </c>
      <c r="B26" s="196" t="s">
        <v>34</v>
      </c>
      <c r="C26" s="173">
        <f ca="1">Borrowings!C26/'Aggregate As% of GSDP'!I26*100</f>
        <v>0.65092699156409706</v>
      </c>
      <c r="D26" s="173">
        <f ca="1">Borrowings!D26/'Aggregate As% of GSDP'!J26*100</f>
        <v>2.574990289083245</v>
      </c>
      <c r="E26" s="173">
        <f ca="1">Borrowings!E26/'Aggregate As% of GSDP'!K26*100</f>
        <v>2.1184182882144844</v>
      </c>
      <c r="F26" s="173">
        <f ca="1">Borrowings!F26/'Aggregate As% of GSDP'!L26*100</f>
        <v>0.25973554244804642</v>
      </c>
      <c r="G26" s="173">
        <f ca="1">Borrowings!G26/'Aggregate As% of GSDP'!M26*100</f>
        <v>1.8410625448885549</v>
      </c>
      <c r="H26" s="251">
        <f t="shared" si="2"/>
        <v>1.4890267312396854</v>
      </c>
      <c r="I26" s="173">
        <f ca="1">Borrowings!C26/'Aggregate As% of GSDP'!D26*100</f>
        <v>10.314350518675178</v>
      </c>
      <c r="J26" s="173">
        <f ca="1">Borrowings!D26/'Aggregate As% of GSDP'!E26*100</f>
        <v>34.703027119899865</v>
      </c>
      <c r="K26" s="173">
        <f ca="1">Borrowings!E26/'Aggregate As% of GSDP'!F26*100</f>
        <v>26.524486992907327</v>
      </c>
      <c r="L26" s="173">
        <f ca="1">Borrowings!F26/'Aggregate As% of GSDP'!G26*100</f>
        <v>3.3293694627356429</v>
      </c>
      <c r="M26" s="173">
        <f ca="1">Borrowings!G26/'Aggregate As% of GSDP'!H26*100</f>
        <v>22.461964531867991</v>
      </c>
      <c r="N26" s="255">
        <f t="shared" si="3"/>
        <v>19.466639725217199</v>
      </c>
    </row>
    <row r="27" spans="1:14" ht="15.75">
      <c r="A27" s="195">
        <v>9</v>
      </c>
      <c r="B27" s="196" t="s">
        <v>35</v>
      </c>
      <c r="C27" s="173">
        <f ca="1">Borrowings!C27/'Aggregate As% of GSDP'!I27*100</f>
        <v>2.9917266659434407</v>
      </c>
      <c r="D27" s="173">
        <f ca="1">Borrowings!D27/'Aggregate As% of GSDP'!J27*100</f>
        <v>3.1947253961130864</v>
      </c>
      <c r="E27" s="173">
        <f ca="1">Borrowings!E27/'Aggregate As% of GSDP'!K27*100</f>
        <v>2.4632220362249924</v>
      </c>
      <c r="F27" s="173">
        <f ca="1">Borrowings!F27/'Aggregate As% of GSDP'!L27*100</f>
        <v>2.3702783784661929</v>
      </c>
      <c r="G27" s="173">
        <f ca="1">Borrowings!G27/'Aggregate As% of GSDP'!M27*100</f>
        <v>2.9894641146274941</v>
      </c>
      <c r="H27" s="251">
        <f t="shared" si="2"/>
        <v>2.8018833182750411</v>
      </c>
      <c r="I27" s="173">
        <f ca="1">Borrowings!C27/'Aggregate As% of GSDP'!D27*100</f>
        <v>90.100955908525734</v>
      </c>
      <c r="J27" s="173">
        <f ca="1">Borrowings!D27/'Aggregate As% of GSDP'!E27*100</f>
        <v>96.843961160019404</v>
      </c>
      <c r="K27" s="173">
        <f ca="1">Borrowings!E27/'Aggregate As% of GSDP'!F27*100</f>
        <v>67.019871581717922</v>
      </c>
      <c r="L27" s="173">
        <f ca="1">Borrowings!F27/'Aggregate As% of GSDP'!G27*100</f>
        <v>71.038978603694986</v>
      </c>
      <c r="M27" s="173">
        <f ca="1">Borrowings!G27/'Aggregate As% of GSDP'!H27*100</f>
        <v>100.34871774236326</v>
      </c>
      <c r="N27" s="255">
        <f t="shared" si="3"/>
        <v>85.07049699926425</v>
      </c>
    </row>
    <row r="28" spans="1:14" ht="15.75">
      <c r="A28" s="195">
        <v>10</v>
      </c>
      <c r="B28" s="196" t="s">
        <v>36</v>
      </c>
      <c r="C28" s="173">
        <f ca="1">Borrowings!C28/'Aggregate As% of GSDP'!I28*100</f>
        <v>1.0881476848382763</v>
      </c>
      <c r="D28" s="173">
        <f ca="1">Borrowings!D28/'Aggregate As% of GSDP'!J28*100</f>
        <v>2.4050771507938116</v>
      </c>
      <c r="E28" s="173">
        <f ca="1">Borrowings!E28/'Aggregate As% of GSDP'!K28*100</f>
        <v>2.9004228366902942</v>
      </c>
      <c r="F28" s="173">
        <f ca="1">Borrowings!F28/'Aggregate As% of GSDP'!L28*100</f>
        <v>2.1005019143404651</v>
      </c>
      <c r="G28" s="173">
        <f ca="1">Borrowings!G28/'Aggregate As% of GSDP'!M28*100</f>
        <v>2.5310333019433267</v>
      </c>
      <c r="H28" s="251">
        <f t="shared" si="2"/>
        <v>2.2050365777212346</v>
      </c>
      <c r="I28" s="173">
        <f ca="1">Borrowings!C28/'Aggregate As% of GSDP'!D28*100</f>
        <v>16.291247787586009</v>
      </c>
      <c r="J28" s="173">
        <f ca="1">Borrowings!D28/'Aggregate As% of GSDP'!E28*100</f>
        <v>39.708021377843174</v>
      </c>
      <c r="K28" s="173">
        <f ca="1">Borrowings!E28/'Aggregate As% of GSDP'!F28*100</f>
        <v>45.412902002906428</v>
      </c>
      <c r="L28" s="173">
        <f ca="1">Borrowings!F28/'Aggregate As% of GSDP'!G28*100</f>
        <v>28.80005602293992</v>
      </c>
      <c r="M28" s="173">
        <f ca="1">Borrowings!G28/'Aggregate As% of GSDP'!H28*100</f>
        <v>28.13900882923069</v>
      </c>
      <c r="N28" s="255">
        <f t="shared" si="3"/>
        <v>31.670247204101248</v>
      </c>
    </row>
    <row r="29" spans="1:14" ht="15.75">
      <c r="A29" s="195">
        <v>11</v>
      </c>
      <c r="B29" s="196" t="s">
        <v>37</v>
      </c>
      <c r="C29" s="173">
        <f ca="1">Borrowings!C29/'Aggregate As% of GSDP'!I29*100</f>
        <v>1.4847482489057502</v>
      </c>
      <c r="D29" s="173">
        <f ca="1">Borrowings!D29/'Aggregate As% of GSDP'!J29*100</f>
        <v>2.4526108835514466</v>
      </c>
      <c r="E29" s="173">
        <f ca="1">Borrowings!E29/'Aggregate As% of GSDP'!K29*100</f>
        <v>2.2951604850609653</v>
      </c>
      <c r="F29" s="173">
        <f ca="1">Borrowings!F29/'Aggregate As% of GSDP'!L29*100</f>
        <v>2.4698408443495228</v>
      </c>
      <c r="G29" s="173">
        <f ca="1">Borrowings!G29/'Aggregate As% of GSDP'!M29*100</f>
        <v>1.7800122341570204</v>
      </c>
      <c r="H29" s="251">
        <f t="shared" si="2"/>
        <v>2.0964745392049413</v>
      </c>
      <c r="I29" s="173">
        <f ca="1">Borrowings!C29/'Aggregate As% of GSDP'!D29*100</f>
        <v>54.025072906920336</v>
      </c>
      <c r="J29" s="173">
        <f ca="1">Borrowings!D29/'Aggregate As% of GSDP'!E29*100</f>
        <v>79.639512853350737</v>
      </c>
      <c r="K29" s="173">
        <f ca="1">Borrowings!E29/'Aggregate As% of GSDP'!F29*100</f>
        <v>69.122807017543892</v>
      </c>
      <c r="L29" s="173">
        <f ca="1">Borrowings!F29/'Aggregate As% of GSDP'!G29*100</f>
        <v>76.927567990750546</v>
      </c>
      <c r="M29" s="173">
        <f ca="1">Borrowings!G29/'Aggregate As% of GSDP'!H29*100</f>
        <v>50.022666666666673</v>
      </c>
      <c r="N29" s="255">
        <f t="shared" si="3"/>
        <v>65.947525487046434</v>
      </c>
    </row>
    <row r="30" spans="1:14" ht="15.75">
      <c r="A30" s="195">
        <v>12</v>
      </c>
      <c r="B30" s="196" t="s">
        <v>104</v>
      </c>
      <c r="C30" s="173">
        <f ca="1">Borrowings!C30/'Aggregate As% of GSDP'!I30*100</f>
        <v>-0.75504254529139669</v>
      </c>
      <c r="D30" s="173">
        <f ca="1">Borrowings!D30/'Aggregate As% of GSDP'!J30*100</f>
        <v>7.8684903462162642E-2</v>
      </c>
      <c r="E30" s="173">
        <f ca="1">Borrowings!E30/'Aggregate As% of GSDP'!K30*100</f>
        <v>0.78057375997850087</v>
      </c>
      <c r="F30" s="173">
        <f ca="1">Borrowings!F30/'Aggregate As% of GSDP'!L30*100</f>
        <v>0.72136821379494198</v>
      </c>
      <c r="G30" s="173">
        <f ca="1">Borrowings!G30/'Aggregate As% of GSDP'!M30*100</f>
        <v>1.2971542990505491</v>
      </c>
      <c r="H30" s="251">
        <f t="shared" si="2"/>
        <v>0.42454772619895154</v>
      </c>
      <c r="I30" s="173">
        <f ca="1">Borrowings!C30/'Aggregate As% of GSDP'!D30*100</f>
        <v>-16.40297348666267</v>
      </c>
      <c r="J30" s="173">
        <f ca="1">Borrowings!D30/'Aggregate As% of GSDP'!E30*100</f>
        <v>1.4980370637242699</v>
      </c>
      <c r="K30" s="173">
        <f ca="1">Borrowings!E30/'Aggregate As% of GSDP'!F30*100</f>
        <v>13.589562277031373</v>
      </c>
      <c r="L30" s="173">
        <f ca="1">Borrowings!F30/'Aggregate As% of GSDP'!G30*100</f>
        <v>12.51897596526041</v>
      </c>
      <c r="M30" s="173">
        <f ca="1">Borrowings!G30/'Aggregate As% of GSDP'!H30*100</f>
        <v>19.306776315789477</v>
      </c>
      <c r="N30" s="255">
        <f t="shared" si="3"/>
        <v>6.1020756270285714</v>
      </c>
    </row>
    <row r="31" spans="1:14" ht="15.75">
      <c r="A31" s="195">
        <v>13</v>
      </c>
      <c r="B31" s="196" t="s">
        <v>39</v>
      </c>
      <c r="C31" s="173">
        <f ca="1">Borrowings!C31/'Aggregate As% of GSDP'!I31*100</f>
        <v>3.0594502282505163</v>
      </c>
      <c r="D31" s="173">
        <f ca="1">Borrowings!D31/'Aggregate As% of GSDP'!J31*100</f>
        <v>3.6277788311815171</v>
      </c>
      <c r="E31" s="173">
        <f ca="1">Borrowings!E31/'Aggregate As% of GSDP'!K31*100</f>
        <v>3.1231293442813</v>
      </c>
      <c r="F31" s="173">
        <f ca="1">Borrowings!F31/'Aggregate As% of GSDP'!L31*100</f>
        <v>2.7265562840315587</v>
      </c>
      <c r="G31" s="173">
        <f ca="1">Borrowings!G31/'Aggregate As% of GSDP'!M31*100</f>
        <v>3.5936222568576044</v>
      </c>
      <c r="H31" s="251">
        <f t="shared" si="2"/>
        <v>3.2261073889204992</v>
      </c>
      <c r="I31" s="173">
        <f ca="1">Borrowings!C31/'Aggregate As% of GSDP'!D31*100</f>
        <v>91.337572873219727</v>
      </c>
      <c r="J31" s="173">
        <f ca="1">Borrowings!D31/'Aggregate As% of GSDP'!E31*100</f>
        <v>95.317569230258243</v>
      </c>
      <c r="K31" s="173">
        <f ca="1">Borrowings!E31/'Aggregate As% of GSDP'!F31*100</f>
        <v>131.87027652859027</v>
      </c>
      <c r="L31" s="173">
        <f ca="1">Borrowings!F31/'Aggregate As% of GSDP'!G31*100</f>
        <v>80.383461691178525</v>
      </c>
      <c r="M31" s="173">
        <f ca="1">Borrowings!G31/'Aggregate As% of GSDP'!H31*100</f>
        <v>126.65720369056066</v>
      </c>
      <c r="N31" s="255">
        <f t="shared" si="3"/>
        <v>105.11321680276149</v>
      </c>
    </row>
    <row r="32" spans="1:14" ht="15.75">
      <c r="A32" s="195">
        <v>14</v>
      </c>
      <c r="B32" s="196" t="s">
        <v>40</v>
      </c>
      <c r="C32" s="173">
        <f ca="1">Borrowings!C32/'Aggregate As% of GSDP'!I32*100</f>
        <v>2.2251593762511424</v>
      </c>
      <c r="D32" s="173">
        <f ca="1">Borrowings!D32/'Aggregate As% of GSDP'!J32*100</f>
        <v>2.7786394398763363</v>
      </c>
      <c r="E32" s="173">
        <f ca="1">Borrowings!E32/'Aggregate As% of GSDP'!K32*100</f>
        <v>3.0206603408063577</v>
      </c>
      <c r="F32" s="173">
        <f ca="1">Borrowings!F32/'Aggregate As% of GSDP'!L32*100</f>
        <v>2.3174288344733411</v>
      </c>
      <c r="G32" s="173">
        <f ca="1">Borrowings!G32/'Aggregate As% of GSDP'!M32*100</f>
        <v>2.2043739139878364</v>
      </c>
      <c r="H32" s="251">
        <f t="shared" si="2"/>
        <v>2.5092523810790031</v>
      </c>
      <c r="I32" s="173">
        <f ca="1">Borrowings!C32/'Aggregate As% of GSDP'!D32*100</f>
        <v>34.307126775164889</v>
      </c>
      <c r="J32" s="173">
        <f ca="1">Borrowings!D32/'Aggregate As% of GSDP'!E32*100</f>
        <v>44.086592529948149</v>
      </c>
      <c r="K32" s="173">
        <f ca="1">Borrowings!E32/'Aggregate As% of GSDP'!F32*100</f>
        <v>44.273614481778353</v>
      </c>
      <c r="L32" s="173">
        <f ca="1">Borrowings!F32/'Aggregate As% of GSDP'!G32*100</f>
        <v>34.604181601947886</v>
      </c>
      <c r="M32" s="173">
        <f ca="1">Borrowings!G32/'Aggregate As% of GSDP'!H32*100</f>
        <v>29.104526299337696</v>
      </c>
      <c r="N32" s="255">
        <f t="shared" si="3"/>
        <v>37.275208337635391</v>
      </c>
    </row>
    <row r="33" spans="1:14" ht="15.75">
      <c r="A33" s="195">
        <v>15</v>
      </c>
      <c r="B33" s="196" t="s">
        <v>41</v>
      </c>
      <c r="C33" s="173">
        <f ca="1">Borrowings!C33/'Aggregate As% of GSDP'!I33*100</f>
        <v>1.2718638386176346</v>
      </c>
      <c r="D33" s="173">
        <f ca="1">Borrowings!D33/'Aggregate As% of GSDP'!J33*100</f>
        <v>2.5402206629856279</v>
      </c>
      <c r="E33" s="173">
        <f ca="1">Borrowings!E33/'Aggregate As% of GSDP'!K33*100</f>
        <v>2.9309263737180022</v>
      </c>
      <c r="F33" s="173">
        <f ca="1">Borrowings!F33/'Aggregate As% of GSDP'!L33*100</f>
        <v>2.198549844462256</v>
      </c>
      <c r="G33" s="173">
        <f ca="1">Borrowings!G33/'Aggregate As% of GSDP'!M33*100</f>
        <v>2.728688235984507</v>
      </c>
      <c r="H33" s="251">
        <f t="shared" si="2"/>
        <v>2.3340497911536056</v>
      </c>
      <c r="I33" s="173">
        <f ca="1">Borrowings!C33/'Aggregate As% of GSDP'!D33*100</f>
        <v>31.368383715546148</v>
      </c>
      <c r="J33" s="173">
        <f ca="1">Borrowings!D33/'Aggregate As% of GSDP'!E33*100</f>
        <v>62.640598214450293</v>
      </c>
      <c r="K33" s="173">
        <f ca="1">Borrowings!E33/'Aggregate As% of GSDP'!F33*100</f>
        <v>78.841642031410515</v>
      </c>
      <c r="L33" s="173">
        <f ca="1">Borrowings!F33/'Aggregate As% of GSDP'!G33*100</f>
        <v>60.851258040036605</v>
      </c>
      <c r="M33" s="173">
        <f ca="1">Borrowings!G33/'Aggregate As% of GSDP'!H33*100</f>
        <v>74.089653707244523</v>
      </c>
      <c r="N33" s="255">
        <f t="shared" si="3"/>
        <v>61.558307141737615</v>
      </c>
    </row>
    <row r="34" spans="1:14" ht="15.75">
      <c r="A34" s="195">
        <v>16</v>
      </c>
      <c r="B34" s="196" t="s">
        <v>42</v>
      </c>
      <c r="C34" s="173">
        <f ca="1">Borrowings!C34/'Aggregate As% of GSDP'!I34*100</f>
        <v>1.1262473043605397</v>
      </c>
      <c r="D34" s="173">
        <f ca="1">Borrowings!D34/'Aggregate As% of GSDP'!J34*100</f>
        <v>2.7357230399046522</v>
      </c>
      <c r="E34" s="173">
        <f ca="1">Borrowings!E34/'Aggregate As% of GSDP'!K34*100</f>
        <v>3.5718597152484848</v>
      </c>
      <c r="F34" s="173">
        <f ca="1">Borrowings!F34/'Aggregate As% of GSDP'!L34*100</f>
        <v>2.7206680556955418</v>
      </c>
      <c r="G34" s="173">
        <f ca="1">Borrowings!G34/'Aggregate As% of GSDP'!M34*100</f>
        <v>2.7817677469629394</v>
      </c>
      <c r="H34" s="251">
        <f t="shared" si="2"/>
        <v>2.5872531724344316</v>
      </c>
      <c r="I34" s="173">
        <f ca="1">Borrowings!C34/'Aggregate As% of GSDP'!D34*100</f>
        <v>17.085098748387072</v>
      </c>
      <c r="J34" s="173">
        <f ca="1">Borrowings!D34/'Aggregate As% of GSDP'!E34*100</f>
        <v>34.959861256593406</v>
      </c>
      <c r="K34" s="173">
        <f ca="1">Borrowings!E34/'Aggregate As% of GSDP'!F34*100</f>
        <v>55.632735091867744</v>
      </c>
      <c r="L34" s="173">
        <f ca="1">Borrowings!F34/'Aggregate As% of GSDP'!G34*100</f>
        <v>42.844359654278854</v>
      </c>
      <c r="M34" s="173">
        <f ca="1">Borrowings!G34/'Aggregate As% of GSDP'!H34*100</f>
        <v>40.71063829787235</v>
      </c>
      <c r="N34" s="255">
        <f t="shared" si="3"/>
        <v>38.246538609799885</v>
      </c>
    </row>
    <row r="35" spans="1:14" ht="15.75">
      <c r="A35" s="195">
        <v>17</v>
      </c>
      <c r="B35" s="196" t="s">
        <v>43</v>
      </c>
      <c r="C35" s="173">
        <f ca="1">Borrowings!C35/'Aggregate As% of GSDP'!I35*100</f>
        <v>3.7650317380285361</v>
      </c>
      <c r="D35" s="173">
        <f ca="1">Borrowings!D35/'Aggregate As% of GSDP'!J35*100</f>
        <v>3.422492703440934</v>
      </c>
      <c r="E35" s="173">
        <f ca="1">Borrowings!E35/'Aggregate As% of GSDP'!K35*100</f>
        <v>5.411841086097164</v>
      </c>
      <c r="F35" s="173">
        <f ca="1">Borrowings!F35/'Aggregate As% of GSDP'!L35*100</f>
        <v>4.0439881819601604</v>
      </c>
      <c r="G35" s="173">
        <f ca="1">Borrowings!G35/'Aggregate As% of GSDP'!M35*100</f>
        <v>3.291813303888949</v>
      </c>
      <c r="H35" s="251">
        <f t="shared" si="2"/>
        <v>3.9870334026831484</v>
      </c>
      <c r="I35" s="173">
        <f ca="1">Borrowings!C35/'Aggregate As% of GSDP'!D35*100</f>
        <v>153.30439180645706</v>
      </c>
      <c r="J35" s="173">
        <f ca="1">Borrowings!D35/'Aggregate As% of GSDP'!E35*100</f>
        <v>133.70922464704492</v>
      </c>
      <c r="K35" s="173">
        <f ca="1">Borrowings!E35/'Aggregate As% of GSDP'!F35*100</f>
        <v>176.62922672016091</v>
      </c>
      <c r="L35" s="173">
        <f ca="1">Borrowings!F35/'Aggregate As% of GSDP'!G35*100</f>
        <v>138.00692719581446</v>
      </c>
      <c r="M35" s="173">
        <f ca="1">Borrowings!G35/'Aggregate As% of GSDP'!H35*100</f>
        <v>80.255694607004585</v>
      </c>
      <c r="N35" s="255">
        <f t="shared" si="3"/>
        <v>136.38109299529637</v>
      </c>
    </row>
    <row r="36" spans="1:14" ht="15.75">
      <c r="A36" s="193"/>
      <c r="B36" s="194" t="s">
        <v>139</v>
      </c>
      <c r="C36" s="182">
        <f ca="1">Borrowings!C36/'Aggregate As% of GSDP'!I36*100</f>
        <v>1.6497807602467898</v>
      </c>
      <c r="D36" s="182">
        <f ca="1">Borrowings!D36/'Aggregate As% of GSDP'!J36*100</f>
        <v>2.5097039834125354</v>
      </c>
      <c r="E36" s="182">
        <f ca="1">Borrowings!E36/'Aggregate As% of GSDP'!K36*100</f>
        <v>2.8519061094901006</v>
      </c>
      <c r="F36" s="182">
        <f ca="1">Borrowings!F36/'Aggregate As% of GSDP'!L36*100</f>
        <v>2.327170304667165</v>
      </c>
      <c r="G36" s="182">
        <f ca="1">Borrowings!G36/'Aggregate As% of GSDP'!M36*100</f>
        <v>2.4757214815137827</v>
      </c>
      <c r="H36" s="251">
        <f t="shared" si="2"/>
        <v>2.3628565278660743</v>
      </c>
      <c r="I36" s="182">
        <f ca="1">Borrowings!C36/'Aggregate As% of GSDP'!D36*100</f>
        <v>32.528347100821776</v>
      </c>
      <c r="J36" s="182">
        <f ca="1">Borrowings!D36/'Aggregate As% of GSDP'!E36*100</f>
        <v>45.788437345996499</v>
      </c>
      <c r="K36" s="182">
        <f ca="1">Borrowings!E36/'Aggregate As% of GSDP'!F36*100</f>
        <v>53.304139913135884</v>
      </c>
      <c r="L36" s="182">
        <f ca="1">Borrowings!F36/'Aggregate As% of GSDP'!G36*100</f>
        <v>44.674727103573339</v>
      </c>
      <c r="M36" s="182">
        <f ca="1">Borrowings!G36/'Aggregate As% of GSDP'!H36*100</f>
        <v>42.277859202838172</v>
      </c>
      <c r="N36" s="255">
        <f t="shared" si="3"/>
        <v>43.714702133273136</v>
      </c>
    </row>
    <row r="37" spans="1:14" ht="15.75">
      <c r="A37" s="193"/>
      <c r="B37" s="194" t="s">
        <v>175</v>
      </c>
      <c r="C37" s="182">
        <f ca="1">Borrowings!C37/'Aggregate As% of GSDP'!I37*100</f>
        <v>1.7246489647938155</v>
      </c>
      <c r="D37" s="182">
        <f ca="1">Borrowings!D37/'Aggregate As% of GSDP'!J37*100</f>
        <v>2.5740314987427766</v>
      </c>
      <c r="E37" s="182">
        <f ca="1">Borrowings!E37/'Aggregate As% of GSDP'!K37*100</f>
        <v>2.8989675926526273</v>
      </c>
      <c r="F37" s="182">
        <f ca="1">Borrowings!F37/'Aggregate As% of GSDP'!L37*100</f>
        <v>2.3949803236684182</v>
      </c>
      <c r="G37" s="182">
        <f ca="1">Borrowings!G37/'Aggregate As% of GSDP'!M37*100</f>
        <v>2.5204410847386205</v>
      </c>
      <c r="H37" s="251">
        <f t="shared" ref="H37:H42" si="4">+AVERAGE(C37:G37)</f>
        <v>2.4226138929192516</v>
      </c>
      <c r="I37" s="182">
        <f ca="1">Borrowings!C37/'Aggregate As% of GSDP'!D37*100</f>
        <v>32.212193545148388</v>
      </c>
      <c r="J37" s="182">
        <f ca="1">Borrowings!D37/'Aggregate As% of GSDP'!E37*100</f>
        <v>44.82464759327312</v>
      </c>
      <c r="K37" s="182">
        <f ca="1">Borrowings!E37/'Aggregate As% of GSDP'!F37*100</f>
        <v>51.96095633300699</v>
      </c>
      <c r="L37" s="182">
        <f ca="1">Borrowings!F37/'Aggregate As% of GSDP'!G37*100</f>
        <v>44.096351837150706</v>
      </c>
      <c r="M37" s="182">
        <f ca="1">Borrowings!G37/'Aggregate As% of GSDP'!H37*100</f>
        <v>41.664844765745698</v>
      </c>
      <c r="N37" s="255">
        <f t="shared" ref="N37:N42" si="5">+AVERAGE(I37:M37)</f>
        <v>42.951798814864979</v>
      </c>
    </row>
    <row r="38" spans="1:14" ht="15.75">
      <c r="A38" s="193" t="s">
        <v>271</v>
      </c>
      <c r="B38" s="194" t="s">
        <v>277</v>
      </c>
      <c r="C38" s="182"/>
      <c r="D38" s="182"/>
      <c r="E38" s="182"/>
      <c r="F38" s="182"/>
      <c r="G38" s="182"/>
      <c r="H38" s="251"/>
      <c r="I38" s="182"/>
      <c r="J38" s="182"/>
      <c r="K38" s="182"/>
      <c r="L38" s="182"/>
      <c r="M38" s="182"/>
      <c r="N38" s="255"/>
    </row>
    <row r="39" spans="1:14" ht="15.75">
      <c r="A39" s="195">
        <v>1</v>
      </c>
      <c r="B39" s="196" t="s">
        <v>145</v>
      </c>
      <c r="C39" s="173">
        <f ca="1">Borrowings!C39/'Aggregate As% of GSDP'!I39*100</f>
        <v>-0.14502966184859473</v>
      </c>
      <c r="D39" s="173">
        <f ca="1">Borrowings!D39/'Aggregate As% of GSDP'!J39*100</f>
        <v>2.2534334390317275E-2</v>
      </c>
      <c r="E39" s="173">
        <f ca="1">Borrowings!E39/'Aggregate As% of GSDP'!K39*100</f>
        <v>0.51954558252405481</v>
      </c>
      <c r="F39" s="173">
        <f ca="1">Borrowings!F39/'Aggregate As% of GSDP'!L39*100</f>
        <v>1.3225152743330713</v>
      </c>
      <c r="G39" s="173">
        <f ca="1">Borrowings!G39/'Aggregate As% of GSDP'!M39*100</f>
        <v>0.12741531659520791</v>
      </c>
      <c r="H39" s="251">
        <f t="shared" si="4"/>
        <v>0.3693961691988113</v>
      </c>
      <c r="I39" s="173">
        <f ca="1">Borrowings!C39/'Aggregate As% of GSDP'!D39*100</f>
        <v>-2.6187128784417073</v>
      </c>
      <c r="J39" s="173">
        <f ca="1">Borrowings!D39/'Aggregate As% of GSDP'!E39*100</f>
        <v>0.44399326440075448</v>
      </c>
      <c r="K39" s="173">
        <f ca="1">Borrowings!E39/'Aggregate As% of GSDP'!F39*100</f>
        <v>10.522400390400396</v>
      </c>
      <c r="L39" s="173">
        <f ca="1">Borrowings!F39/'Aggregate As% of GSDP'!G39*100</f>
        <v>30.684210526315791</v>
      </c>
      <c r="M39" s="173">
        <f ca="1">Borrowings!G39/'Aggregate As% of GSDP'!H39*100</f>
        <v>2.6432300270931077</v>
      </c>
      <c r="N39" s="255">
        <f t="shared" si="5"/>
        <v>8.3350242659536686</v>
      </c>
    </row>
    <row r="40" spans="1:14" ht="15.75">
      <c r="A40" s="195">
        <v>2</v>
      </c>
      <c r="B40" s="196" t="s">
        <v>47</v>
      </c>
      <c r="C40" s="173">
        <f ca="1">Borrowings!C40/'Aggregate As% of GSDP'!I40*100</f>
        <v>3.8178575289157926</v>
      </c>
      <c r="D40" s="173">
        <f ca="1">Borrowings!D40/'Aggregate As% of GSDP'!J40*100</f>
        <v>3.6838805970149253</v>
      </c>
      <c r="E40" s="173">
        <f ca="1">Borrowings!E40/'Aggregate As% of GSDP'!K40*100</f>
        <v>6.7460331452750353</v>
      </c>
      <c r="F40" s="173">
        <f ca="1">Borrowings!F40/'Aggregate As% of GSDP'!L40*100</f>
        <v>6.0486503209838345</v>
      </c>
      <c r="G40" s="173">
        <f ca="1">Borrowings!G40/'Aggregate As% of GSDP'!M40*100</f>
        <v>6.4849897988924514</v>
      </c>
      <c r="H40" s="251">
        <f t="shared" si="4"/>
        <v>5.3562822782164075</v>
      </c>
      <c r="I40" s="173">
        <f ca="1">Borrowings!C40/'Aggregate As% of GSDP'!D40*100</f>
        <v>32.500393613731084</v>
      </c>
      <c r="J40" s="173">
        <f ca="1">Borrowings!D40/'Aggregate As% of GSDP'!E40*100</f>
        <v>34.902386820599304</v>
      </c>
      <c r="K40" s="173">
        <f ca="1">Borrowings!E40/'Aggregate As% of GSDP'!F40*100</f>
        <v>52.779862172466494</v>
      </c>
      <c r="L40" s="173">
        <f ca="1">Borrowings!F40/'Aggregate As% of GSDP'!G40*100</f>
        <v>50.04992</v>
      </c>
      <c r="M40" s="173">
        <f ca="1">Borrowings!G40/'Aggregate As% of GSDP'!H40*100</f>
        <v>49.859943977591037</v>
      </c>
      <c r="N40" s="255">
        <f t="shared" si="5"/>
        <v>44.018501316877582</v>
      </c>
    </row>
    <row r="41" spans="1:14" ht="15.75">
      <c r="A41" s="211"/>
      <c r="B41" s="198" t="s">
        <v>146</v>
      </c>
      <c r="C41" s="182">
        <f ca="1">Borrowings!C41/'Aggregate As% of GSDP'!I41*100</f>
        <v>7.4235337743274468E-2</v>
      </c>
      <c r="D41" s="182">
        <f ca="1">Borrowings!D41/'Aggregate As% of GSDP'!J41*100</f>
        <v>0.20690138939689257</v>
      </c>
      <c r="E41" s="182">
        <f ca="1">Borrowings!E41/'Aggregate As% of GSDP'!K41*100</f>
        <v>0.81998102959128549</v>
      </c>
      <c r="F41" s="182">
        <f ca="1">Borrowings!F41/'Aggregate As% of GSDP'!L41*100</f>
        <v>1.5427701180499234</v>
      </c>
      <c r="G41" s="182">
        <f ca="1">Borrowings!G41/'Aggregate As% of GSDP'!M41*100</f>
        <v>0.39370319052182456</v>
      </c>
      <c r="H41" s="251">
        <f t="shared" si="4"/>
        <v>0.60751821306064002</v>
      </c>
      <c r="I41" s="182">
        <f ca="1">Borrowings!C41/'Aggregate As% of GSDP'!D41*100</f>
        <v>1.262132158944375</v>
      </c>
      <c r="J41" s="182">
        <f ca="1">Borrowings!D41/'Aggregate As% of GSDP'!E41*100</f>
        <v>3.8663803157029579</v>
      </c>
      <c r="K41" s="182">
        <f ca="1">Borrowings!E41/'Aggregate As% of GSDP'!F41*100</f>
        <v>15.42477850084483</v>
      </c>
      <c r="L41" s="182">
        <f ca="1">Borrowings!F41/'Aggregate As% of GSDP'!G41*100</f>
        <v>33.01855351976856</v>
      </c>
      <c r="M41" s="182">
        <f ca="1">Borrowings!G41/'Aggregate As% of GSDP'!H41*100</f>
        <v>7.6250147771604215</v>
      </c>
      <c r="N41" s="255">
        <f t="shared" si="5"/>
        <v>12.239371854484229</v>
      </c>
    </row>
    <row r="42" spans="1:14" ht="30.75" customHeight="1">
      <c r="A42" s="212"/>
      <c r="B42" s="208" t="s">
        <v>274</v>
      </c>
      <c r="C42" s="182">
        <f ca="1">Borrowings!C42/'Aggregate As% of GSDP'!I42*100</f>
        <v>1.6610929927538887</v>
      </c>
      <c r="D42" s="182">
        <f ca="1">Borrowings!D42/'Aggregate As% of GSDP'!J42*100</f>
        <v>2.4798030673546134</v>
      </c>
      <c r="E42" s="182">
        <f ca="1">Borrowings!E42/'Aggregate As% of GSDP'!K42*100</f>
        <v>2.8150056484643984</v>
      </c>
      <c r="F42" s="182">
        <f ca="1">Borrowings!F42/'Aggregate As% of GSDP'!L42*100</f>
        <v>2.3603723891266193</v>
      </c>
      <c r="G42" s="182">
        <f ca="1">Borrowings!G42/'Aggregate As% of GSDP'!M42*100</f>
        <v>2.4319462022715674</v>
      </c>
      <c r="H42" s="251">
        <f t="shared" si="4"/>
        <v>2.3496440599942177</v>
      </c>
      <c r="I42" s="182">
        <f ca="1">Borrowings!C42/'Aggregate As% of GSDP'!D42*100</f>
        <v>30.907810255207163</v>
      </c>
      <c r="J42" s="182">
        <f ca="1">Borrowings!D42/'Aggregate As% of GSDP'!E42*100</f>
        <v>43.301147597819124</v>
      </c>
      <c r="K42" s="182">
        <f ca="1">Borrowings!E42/'Aggregate As% of GSDP'!F42*100</f>
        <v>50.552314572359045</v>
      </c>
      <c r="L42" s="182">
        <f ca="1">Borrowings!F42/'Aggregate As% of GSDP'!G42*100</f>
        <v>43.707129871664208</v>
      </c>
      <c r="M42" s="182">
        <f ca="1">Borrowings!G42/'Aggregate As% of GSDP'!H42*100</f>
        <v>40.448468511275415</v>
      </c>
      <c r="N42" s="255">
        <f t="shared" si="5"/>
        <v>41.783374161664987</v>
      </c>
    </row>
    <row r="43" spans="1:14" ht="15.75">
      <c r="A43" s="199"/>
      <c r="B43" s="545" t="s">
        <v>181</v>
      </c>
      <c r="C43" s="545"/>
      <c r="D43" s="545"/>
      <c r="E43" s="545"/>
      <c r="F43" s="545"/>
      <c r="G43" s="545"/>
      <c r="H43" s="545"/>
      <c r="I43" s="545"/>
      <c r="J43" s="545"/>
      <c r="K43" s="545"/>
      <c r="L43" s="152"/>
      <c r="M43" s="152"/>
      <c r="N43" s="152"/>
    </row>
    <row r="44" spans="1:14" ht="15.75">
      <c r="C44" s="174" t="s">
        <v>55</v>
      </c>
      <c r="D44" s="174" t="s">
        <v>56</v>
      </c>
      <c r="E44" s="174" t="s">
        <v>7</v>
      </c>
      <c r="F44" s="174" t="s">
        <v>8</v>
      </c>
      <c r="G44" s="175" t="s">
        <v>9</v>
      </c>
      <c r="H44" s="175"/>
      <c r="I44" s="146"/>
      <c r="J44" s="146"/>
      <c r="K44" s="146"/>
      <c r="L44" s="146"/>
      <c r="M44" s="146"/>
    </row>
    <row r="45" spans="1:14" s="148" customFormat="1" ht="12.75">
      <c r="A45" s="184"/>
      <c r="B45" s="148" t="s">
        <v>148</v>
      </c>
      <c r="C45" s="185">
        <v>1.0575626543951435</v>
      </c>
      <c r="D45" s="185">
        <v>1.1491966754819751</v>
      </c>
      <c r="E45" s="185">
        <v>1.2177408980745625</v>
      </c>
      <c r="F45" s="185">
        <v>1.321012313637526</v>
      </c>
      <c r="G45" s="185">
        <v>1.426611476076826</v>
      </c>
      <c r="H45" s="185"/>
      <c r="I45" s="186"/>
      <c r="J45" s="186"/>
      <c r="K45" s="186"/>
      <c r="L45" s="186"/>
      <c r="M45" s="186"/>
    </row>
    <row r="46" spans="1:14">
      <c r="C46" s="186"/>
      <c r="D46" s="186"/>
      <c r="E46" s="186"/>
      <c r="F46" s="186"/>
      <c r="G46" s="186"/>
      <c r="H46" s="186"/>
    </row>
  </sheetData>
  <mergeCells count="7">
    <mergeCell ref="B43:K43"/>
    <mergeCell ref="M1:N1"/>
    <mergeCell ref="A1:L1"/>
    <mergeCell ref="B2:B3"/>
    <mergeCell ref="A2:A3"/>
    <mergeCell ref="C2:H2"/>
    <mergeCell ref="I2:N2"/>
  </mergeCells>
  <phoneticPr fontId="63" type="noConversion"/>
  <printOptions horizontalCentered="1"/>
  <pageMargins left="0.23622047244094491" right="0.27559055118110237" top="0.78740157480314965" bottom="0.39370078740157483" header="0" footer="0"/>
  <pageSetup paperSize="9" scale="71" orientation="landscape" horizont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52"/>
  <sheetViews>
    <sheetView view="pageBreakPreview" zoomScaleNormal="100" workbookViewId="0">
      <pane xSplit="2" ySplit="4" topLeftCell="C14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.75"/>
  <cols>
    <col min="1" max="1" width="5.28515625" style="205" customWidth="1"/>
    <col min="2" max="2" width="35.28515625" style="206" customWidth="1"/>
    <col min="3" max="13" width="12.42578125" style="147" customWidth="1"/>
    <col min="14" max="14" width="12" style="147" customWidth="1"/>
    <col min="15" max="16384" width="9.140625" style="147"/>
  </cols>
  <sheetData>
    <row r="1" spans="1:14" ht="25.5" customHeight="1">
      <c r="A1" s="558" t="s">
        <v>195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7" t="s">
        <v>128</v>
      </c>
      <c r="N1" s="557"/>
    </row>
    <row r="2" spans="1:14" s="258" customFormat="1" ht="20.25" customHeight="1">
      <c r="A2" s="548" t="s">
        <v>99</v>
      </c>
      <c r="B2" s="544" t="s">
        <v>129</v>
      </c>
      <c r="C2" s="546" t="s">
        <v>154</v>
      </c>
      <c r="D2" s="546"/>
      <c r="E2" s="546"/>
      <c r="F2" s="546"/>
      <c r="G2" s="546"/>
      <c r="H2" s="546"/>
      <c r="I2" s="546" t="s">
        <v>155</v>
      </c>
      <c r="J2" s="546"/>
      <c r="K2" s="546"/>
      <c r="L2" s="546"/>
      <c r="M2" s="546"/>
      <c r="N2" s="546"/>
    </row>
    <row r="3" spans="1:14" s="258" customFormat="1" ht="15" customHeight="1">
      <c r="A3" s="548"/>
      <c r="B3" s="544"/>
      <c r="C3" s="190" t="s">
        <v>55</v>
      </c>
      <c r="D3" s="190" t="s">
        <v>56</v>
      </c>
      <c r="E3" s="190" t="s">
        <v>7</v>
      </c>
      <c r="F3" s="190" t="s">
        <v>8</v>
      </c>
      <c r="G3" s="190" t="s">
        <v>9</v>
      </c>
      <c r="H3" s="264" t="s">
        <v>130</v>
      </c>
      <c r="I3" s="190" t="s">
        <v>55</v>
      </c>
      <c r="J3" s="190" t="s">
        <v>56</v>
      </c>
      <c r="K3" s="190" t="s">
        <v>7</v>
      </c>
      <c r="L3" s="190" t="s">
        <v>8</v>
      </c>
      <c r="M3" s="190" t="s">
        <v>9</v>
      </c>
      <c r="N3" s="269" t="s">
        <v>130</v>
      </c>
    </row>
    <row r="4" spans="1:14" s="258" customFormat="1" ht="15">
      <c r="A4" s="123"/>
      <c r="B4" s="123"/>
      <c r="C4" s="190" t="s">
        <v>10</v>
      </c>
      <c r="D4" s="190" t="s">
        <v>10</v>
      </c>
      <c r="E4" s="190" t="s">
        <v>10</v>
      </c>
      <c r="F4" s="190" t="s">
        <v>133</v>
      </c>
      <c r="G4" s="190" t="s">
        <v>134</v>
      </c>
      <c r="H4" s="264" t="s">
        <v>136</v>
      </c>
      <c r="I4" s="190" t="s">
        <v>10</v>
      </c>
      <c r="J4" s="190" t="s">
        <v>10</v>
      </c>
      <c r="K4" s="190" t="s">
        <v>10</v>
      </c>
      <c r="L4" s="190" t="s">
        <v>133</v>
      </c>
      <c r="M4" s="190" t="s">
        <v>134</v>
      </c>
      <c r="N4" s="269" t="s">
        <v>136</v>
      </c>
    </row>
    <row r="5" spans="1:14">
      <c r="A5" s="193" t="s">
        <v>137</v>
      </c>
      <c r="B5" s="194" t="s">
        <v>141</v>
      </c>
      <c r="C5" s="214"/>
      <c r="D5" s="214"/>
      <c r="E5" s="214"/>
      <c r="F5" s="214"/>
      <c r="G5" s="214"/>
      <c r="H5" s="246"/>
      <c r="I5" s="214"/>
      <c r="J5" s="214"/>
      <c r="K5" s="214"/>
      <c r="L5" s="214"/>
      <c r="M5" s="214"/>
      <c r="N5" s="249"/>
    </row>
    <row r="6" spans="1:14">
      <c r="A6" s="195">
        <v>1</v>
      </c>
      <c r="B6" s="196" t="s">
        <v>14</v>
      </c>
      <c r="C6" s="214">
        <v>1185.17</v>
      </c>
      <c r="D6" s="214">
        <v>1814.49</v>
      </c>
      <c r="E6" s="214">
        <v>2168.96</v>
      </c>
      <c r="F6" s="214">
        <v>2094.52</v>
      </c>
      <c r="G6" s="214">
        <v>2421.0500000000002</v>
      </c>
      <c r="H6" s="247">
        <f t="shared" ref="H6:H17" si="0">+SUM(C6:G6)</f>
        <v>9684.1899999999987</v>
      </c>
      <c r="I6" s="214">
        <f t="shared" ref="I6:I16" si="1">+C6/C$45</f>
        <v>1120.6617358078322</v>
      </c>
      <c r="J6" s="214">
        <f t="shared" ref="J6:J16" si="2">+D6/D$45</f>
        <v>1578.9203351454178</v>
      </c>
      <c r="K6" s="214">
        <f t="shared" ref="K6:K16" si="3">+E6/E$45</f>
        <v>1781.1342326019128</v>
      </c>
      <c r="L6" s="214">
        <f t="shared" ref="L6:L16" si="4">+F6/F$45</f>
        <v>1585.5416171197912</v>
      </c>
      <c r="M6" s="214">
        <f t="shared" ref="M6:M16" si="5">+G6/G$45</f>
        <v>1697.0633144336359</v>
      </c>
      <c r="N6" s="250">
        <f t="shared" ref="N6:N17" si="6">+SUM(I6:M6)</f>
        <v>7763.3212351085904</v>
      </c>
    </row>
    <row r="7" spans="1:14">
      <c r="A7" s="195">
        <v>2</v>
      </c>
      <c r="B7" s="196" t="s">
        <v>15</v>
      </c>
      <c r="C7" s="214">
        <v>2852.17</v>
      </c>
      <c r="D7" s="214">
        <v>3859.27</v>
      </c>
      <c r="E7" s="214">
        <v>3408.4700000000003</v>
      </c>
      <c r="F7" s="214">
        <v>4278.3100000000004</v>
      </c>
      <c r="G7" s="214">
        <v>6289</v>
      </c>
      <c r="H7" s="247">
        <f t="shared" si="0"/>
        <v>20687.22</v>
      </c>
      <c r="I7" s="214">
        <f t="shared" si="1"/>
        <v>2696.927683808251</v>
      </c>
      <c r="J7" s="214">
        <f t="shared" si="2"/>
        <v>3358.2328267538846</v>
      </c>
      <c r="K7" s="214">
        <f t="shared" si="3"/>
        <v>2799.0108613329162</v>
      </c>
      <c r="L7" s="214">
        <f t="shared" si="4"/>
        <v>3238.660197056975</v>
      </c>
      <c r="M7" s="214">
        <f t="shared" si="5"/>
        <v>4408.3481070085854</v>
      </c>
      <c r="N7" s="250">
        <f t="shared" si="6"/>
        <v>16501.179675960615</v>
      </c>
    </row>
    <row r="8" spans="1:14">
      <c r="A8" s="195">
        <v>3</v>
      </c>
      <c r="B8" s="196" t="s">
        <v>16</v>
      </c>
      <c r="C8" s="214">
        <v>1488.77</v>
      </c>
      <c r="D8" s="214">
        <v>1700.37</v>
      </c>
      <c r="E8" s="214">
        <v>2242.98</v>
      </c>
      <c r="F8" s="214">
        <v>2663.43</v>
      </c>
      <c r="G8" s="214">
        <v>3148.75</v>
      </c>
      <c r="H8" s="247">
        <f t="shared" si="0"/>
        <v>11244.3</v>
      </c>
      <c r="I8" s="214">
        <f t="shared" si="1"/>
        <v>1407.7369258575784</v>
      </c>
      <c r="J8" s="214">
        <f t="shared" si="2"/>
        <v>1479.6161843114119</v>
      </c>
      <c r="K8" s="214">
        <f t="shared" si="3"/>
        <v>1841.9189201467238</v>
      </c>
      <c r="L8" s="214">
        <f t="shared" si="4"/>
        <v>2016.2037647219247</v>
      </c>
      <c r="M8" s="214">
        <f t="shared" si="5"/>
        <v>2207.1531407128768</v>
      </c>
      <c r="N8" s="250">
        <f t="shared" si="6"/>
        <v>8952.6289357505157</v>
      </c>
    </row>
    <row r="9" spans="1:14">
      <c r="A9" s="195">
        <v>4</v>
      </c>
      <c r="B9" s="196" t="s">
        <v>142</v>
      </c>
      <c r="C9" s="214">
        <v>4467.58</v>
      </c>
      <c r="D9" s="214">
        <v>4202.04</v>
      </c>
      <c r="E9" s="214">
        <v>7747.96</v>
      </c>
      <c r="F9" s="214">
        <v>7680.92</v>
      </c>
      <c r="G9" s="214">
        <v>8992.9600000000009</v>
      </c>
      <c r="H9" s="247">
        <f t="shared" si="0"/>
        <v>33091.46</v>
      </c>
      <c r="I9" s="214">
        <f t="shared" si="1"/>
        <v>4224.4116520502157</v>
      </c>
      <c r="J9" s="214">
        <f t="shared" si="2"/>
        <v>3656.5020502149096</v>
      </c>
      <c r="K9" s="214">
        <f t="shared" si="3"/>
        <v>6362.5685991582677</v>
      </c>
      <c r="L9" s="214">
        <f t="shared" si="4"/>
        <v>5814.4196845901433</v>
      </c>
      <c r="M9" s="214">
        <f t="shared" si="5"/>
        <v>6303.7204948964754</v>
      </c>
      <c r="N9" s="250">
        <f t="shared" si="6"/>
        <v>26361.622480910009</v>
      </c>
    </row>
    <row r="10" spans="1:14">
      <c r="A10" s="195">
        <v>5</v>
      </c>
      <c r="B10" s="196" t="s">
        <v>18</v>
      </c>
      <c r="C10" s="214">
        <v>1417.71</v>
      </c>
      <c r="D10" s="214">
        <v>1491.03</v>
      </c>
      <c r="E10" s="214">
        <v>1416.74</v>
      </c>
      <c r="F10" s="214">
        <v>2034.2199999999998</v>
      </c>
      <c r="G10" s="214">
        <v>2487.98</v>
      </c>
      <c r="H10" s="247">
        <f t="shared" si="0"/>
        <v>8847.6799999999985</v>
      </c>
      <c r="I10" s="214">
        <f t="shared" si="1"/>
        <v>1340.544689345935</v>
      </c>
      <c r="J10" s="214">
        <f t="shared" si="2"/>
        <v>1297.454153680578</v>
      </c>
      <c r="K10" s="214">
        <f t="shared" si="3"/>
        <v>1163.4166202679783</v>
      </c>
      <c r="L10" s="214">
        <f t="shared" si="4"/>
        <v>1539.8948056726226</v>
      </c>
      <c r="M10" s="214">
        <f t="shared" si="5"/>
        <v>1743.9786807561172</v>
      </c>
      <c r="N10" s="250">
        <f t="shared" si="6"/>
        <v>7085.2889497232318</v>
      </c>
    </row>
    <row r="11" spans="1:14">
      <c r="A11" s="195">
        <v>6</v>
      </c>
      <c r="B11" s="196" t="s">
        <v>19</v>
      </c>
      <c r="C11" s="214">
        <v>613.62</v>
      </c>
      <c r="D11" s="214">
        <v>881.57</v>
      </c>
      <c r="E11" s="214">
        <v>1326.78</v>
      </c>
      <c r="F11" s="214">
        <v>1071.01</v>
      </c>
      <c r="G11" s="214">
        <v>1819.1299999999999</v>
      </c>
      <c r="H11" s="247">
        <f t="shared" si="0"/>
        <v>5712.1100000000006</v>
      </c>
      <c r="I11" s="214">
        <f t="shared" si="1"/>
        <v>580.22094241872639</v>
      </c>
      <c r="J11" s="214">
        <f t="shared" si="2"/>
        <v>767.11847398119914</v>
      </c>
      <c r="K11" s="214">
        <f t="shared" si="3"/>
        <v>1089.5421202472917</v>
      </c>
      <c r="L11" s="214">
        <f t="shared" si="4"/>
        <v>810.74944490931944</v>
      </c>
      <c r="M11" s="214">
        <f t="shared" si="5"/>
        <v>1275.1404502945663</v>
      </c>
      <c r="N11" s="250">
        <f t="shared" si="6"/>
        <v>4522.7714318511025</v>
      </c>
    </row>
    <row r="12" spans="1:14">
      <c r="A12" s="195">
        <v>7</v>
      </c>
      <c r="B12" s="196" t="s">
        <v>20</v>
      </c>
      <c r="C12" s="214">
        <v>799.74</v>
      </c>
      <c r="D12" s="214">
        <v>769.78000000000009</v>
      </c>
      <c r="E12" s="214">
        <v>1302.1300000000001</v>
      </c>
      <c r="F12" s="214">
        <v>1163.28</v>
      </c>
      <c r="G12" s="214">
        <v>1596.09</v>
      </c>
      <c r="H12" s="247">
        <f t="shared" si="0"/>
        <v>5631.02</v>
      </c>
      <c r="I12" s="214">
        <f t="shared" si="1"/>
        <v>756.21051544922307</v>
      </c>
      <c r="J12" s="214">
        <f t="shared" si="2"/>
        <v>669.84182640204119</v>
      </c>
      <c r="K12" s="214">
        <f t="shared" si="3"/>
        <v>1069.2997188965812</v>
      </c>
      <c r="L12" s="214">
        <f t="shared" si="4"/>
        <v>880.59739337084909</v>
      </c>
      <c r="M12" s="214">
        <f t="shared" si="5"/>
        <v>1118.7979535880638</v>
      </c>
      <c r="N12" s="250">
        <f t="shared" si="6"/>
        <v>4494.7474077067591</v>
      </c>
    </row>
    <row r="13" spans="1:14">
      <c r="A13" s="195">
        <v>8</v>
      </c>
      <c r="B13" s="196" t="s">
        <v>21</v>
      </c>
      <c r="C13" s="214">
        <v>735.32999999999993</v>
      </c>
      <c r="D13" s="214">
        <v>876.01</v>
      </c>
      <c r="E13" s="214">
        <v>1187.3881000000001</v>
      </c>
      <c r="F13" s="214">
        <v>1849.15</v>
      </c>
      <c r="G13" s="214">
        <v>2056.14</v>
      </c>
      <c r="H13" s="247">
        <f t="shared" si="0"/>
        <v>6704.0180999999993</v>
      </c>
      <c r="I13" s="214">
        <f t="shared" si="1"/>
        <v>695.30632246139635</v>
      </c>
      <c r="J13" s="214">
        <f t="shared" si="2"/>
        <v>762.28031170782833</v>
      </c>
      <c r="K13" s="214">
        <f t="shared" si="3"/>
        <v>975.07450220112105</v>
      </c>
      <c r="L13" s="214">
        <f t="shared" si="4"/>
        <v>1399.7977012857659</v>
      </c>
      <c r="M13" s="214">
        <f t="shared" si="5"/>
        <v>1441.2753818961094</v>
      </c>
      <c r="N13" s="250">
        <f t="shared" si="6"/>
        <v>5273.7342195522215</v>
      </c>
    </row>
    <row r="14" spans="1:14">
      <c r="A14" s="195">
        <v>9</v>
      </c>
      <c r="B14" s="196" t="s">
        <v>22</v>
      </c>
      <c r="C14" s="214">
        <v>414.20000000000005</v>
      </c>
      <c r="D14" s="214">
        <v>529.20000000000005</v>
      </c>
      <c r="E14" s="214">
        <v>930.19999999999993</v>
      </c>
      <c r="F14" s="214">
        <v>703.37</v>
      </c>
      <c r="G14" s="214">
        <v>1222.06</v>
      </c>
      <c r="H14" s="247">
        <f t="shared" si="0"/>
        <v>3799.0299999999997</v>
      </c>
      <c r="I14" s="214">
        <f t="shared" si="1"/>
        <v>391.65528234059599</v>
      </c>
      <c r="J14" s="214">
        <f t="shared" si="2"/>
        <v>460.49558904097302</v>
      </c>
      <c r="K14" s="214">
        <f t="shared" si="3"/>
        <v>763.87349843533264</v>
      </c>
      <c r="L14" s="214">
        <f t="shared" si="4"/>
        <v>532.44772417238687</v>
      </c>
      <c r="M14" s="214">
        <f t="shared" si="5"/>
        <v>856.61725038176371</v>
      </c>
      <c r="N14" s="250">
        <f t="shared" si="6"/>
        <v>3005.0893443710524</v>
      </c>
    </row>
    <row r="15" spans="1:14">
      <c r="A15" s="195">
        <v>10</v>
      </c>
      <c r="B15" s="196" t="s">
        <v>23</v>
      </c>
      <c r="C15" s="214">
        <v>1080.5</v>
      </c>
      <c r="D15" s="214">
        <v>1164.27</v>
      </c>
      <c r="E15" s="214">
        <v>1377.64</v>
      </c>
      <c r="F15" s="214">
        <v>1645.37</v>
      </c>
      <c r="G15" s="214">
        <v>2500.7399999999998</v>
      </c>
      <c r="H15" s="247">
        <f t="shared" si="0"/>
        <v>7768.5199999999995</v>
      </c>
      <c r="I15" s="214">
        <f t="shared" si="1"/>
        <v>1021.6888763134087</v>
      </c>
      <c r="J15" s="214">
        <f t="shared" si="2"/>
        <v>1013.116401082263</v>
      </c>
      <c r="K15" s="214">
        <f t="shared" si="3"/>
        <v>1131.3079836427132</v>
      </c>
      <c r="L15" s="214">
        <f t="shared" si="4"/>
        <v>1245.5372164316364</v>
      </c>
      <c r="M15" s="214">
        <f t="shared" si="5"/>
        <v>1752.9229519988312</v>
      </c>
      <c r="N15" s="250">
        <f t="shared" si="6"/>
        <v>6164.5734294688518</v>
      </c>
    </row>
    <row r="16" spans="1:14">
      <c r="A16" s="195">
        <v>11</v>
      </c>
      <c r="B16" s="196" t="s">
        <v>24</v>
      </c>
      <c r="C16" s="214">
        <v>2026.8200000000002</v>
      </c>
      <c r="D16" s="214">
        <v>1897.069</v>
      </c>
      <c r="E16" s="214">
        <v>2592.2399999999998</v>
      </c>
      <c r="F16" s="214">
        <v>3388.3041000000003</v>
      </c>
      <c r="G16" s="214">
        <v>3698.82</v>
      </c>
      <c r="H16" s="247">
        <f t="shared" si="0"/>
        <v>13603.2531</v>
      </c>
      <c r="I16" s="214">
        <f t="shared" si="1"/>
        <v>1916.5011090139224</v>
      </c>
      <c r="J16" s="214">
        <f t="shared" si="2"/>
        <v>1650.7783571548932</v>
      </c>
      <c r="K16" s="214">
        <f t="shared" si="3"/>
        <v>2128.7287009073389</v>
      </c>
      <c r="L16" s="214">
        <f t="shared" si="4"/>
        <v>2564.9299896910125</v>
      </c>
      <c r="M16" s="214">
        <f t="shared" si="5"/>
        <v>2592.7311409072186</v>
      </c>
      <c r="N16" s="250">
        <f t="shared" si="6"/>
        <v>10853.669297674385</v>
      </c>
    </row>
    <row r="17" spans="1:14">
      <c r="A17" s="193"/>
      <c r="B17" s="194" t="s">
        <v>143</v>
      </c>
      <c r="C17" s="216">
        <f t="shared" ref="C17:M17" si="7">SUM(C6:C16)</f>
        <v>17081.610000000004</v>
      </c>
      <c r="D17" s="216">
        <f t="shared" si="7"/>
        <v>19185.099000000002</v>
      </c>
      <c r="E17" s="216">
        <f t="shared" si="7"/>
        <v>25701.488100000002</v>
      </c>
      <c r="F17" s="216">
        <f t="shared" si="7"/>
        <v>28571.884099999999</v>
      </c>
      <c r="G17" s="216">
        <f t="shared" si="7"/>
        <v>36232.720000000001</v>
      </c>
      <c r="H17" s="247">
        <f t="shared" si="0"/>
        <v>126772.8012</v>
      </c>
      <c r="I17" s="216">
        <f t="shared" si="7"/>
        <v>16151.865734867086</v>
      </c>
      <c r="J17" s="216">
        <f t="shared" si="7"/>
        <v>16694.356509475398</v>
      </c>
      <c r="K17" s="216">
        <f t="shared" si="7"/>
        <v>21105.875757838177</v>
      </c>
      <c r="L17" s="216">
        <f t="shared" si="7"/>
        <v>21628.779539022424</v>
      </c>
      <c r="M17" s="216">
        <f t="shared" si="7"/>
        <v>25397.748866874241</v>
      </c>
      <c r="N17" s="250">
        <f t="shared" si="6"/>
        <v>100978.62640807733</v>
      </c>
    </row>
    <row r="18" spans="1:14">
      <c r="A18" s="193" t="s">
        <v>140</v>
      </c>
      <c r="B18" s="194" t="s">
        <v>275</v>
      </c>
      <c r="C18" s="190"/>
      <c r="D18" s="190"/>
      <c r="E18" s="190"/>
      <c r="F18" s="190"/>
      <c r="G18" s="190"/>
      <c r="H18" s="264"/>
      <c r="I18" s="190"/>
      <c r="J18" s="190"/>
      <c r="K18" s="190"/>
      <c r="L18" s="190"/>
      <c r="M18" s="190"/>
      <c r="N18" s="269"/>
    </row>
    <row r="19" spans="1:14">
      <c r="A19" s="195">
        <v>1</v>
      </c>
      <c r="B19" s="196" t="s">
        <v>27</v>
      </c>
      <c r="C19" s="214">
        <v>3792.42</v>
      </c>
      <c r="D19" s="214">
        <v>4039.44</v>
      </c>
      <c r="E19" s="214">
        <v>4254.38</v>
      </c>
      <c r="F19" s="214">
        <v>3318.59</v>
      </c>
      <c r="G19" s="214">
        <v>5825.33</v>
      </c>
      <c r="H19" s="247">
        <f>+SUM(C19:G19)</f>
        <v>21230.160000000003</v>
      </c>
      <c r="I19" s="214">
        <f t="shared" ref="I19:I35" si="8">+C19/C$45</f>
        <v>3586.0003038486789</v>
      </c>
      <c r="J19" s="214">
        <f t="shared" ref="J19:J35" si="9">+D19/D$45</f>
        <v>3515.0119089109371</v>
      </c>
      <c r="K19" s="214">
        <f t="shared" ref="K19:K35" si="10">+E19/E$45</f>
        <v>3493.6660226546019</v>
      </c>
      <c r="L19" s="214">
        <f t="shared" ref="L19:L35" si="11">+F19/F$45</f>
        <v>2512.156749593018</v>
      </c>
      <c r="M19" s="214">
        <f t="shared" ref="M19:M35" si="12">+G19/G$45</f>
        <v>4083.3331973605218</v>
      </c>
      <c r="N19" s="250">
        <f>+SUM(I19:M19)</f>
        <v>17190.168182367757</v>
      </c>
    </row>
    <row r="20" spans="1:14">
      <c r="A20" s="195">
        <v>2</v>
      </c>
      <c r="B20" s="196" t="s">
        <v>28</v>
      </c>
      <c r="C20" s="214">
        <v>2859.73</v>
      </c>
      <c r="D20" s="214">
        <v>3600.09</v>
      </c>
      <c r="E20" s="214">
        <v>3720.97</v>
      </c>
      <c r="F20" s="214">
        <v>5297.4800000000005</v>
      </c>
      <c r="G20" s="214">
        <v>7119.33</v>
      </c>
      <c r="H20" s="247">
        <f t="shared" ref="H20:H36" si="13">+SUM(C20:G20)</f>
        <v>22597.599999999999</v>
      </c>
      <c r="I20" s="214">
        <f t="shared" si="8"/>
        <v>2704.0761964458534</v>
      </c>
      <c r="J20" s="214">
        <f t="shared" si="9"/>
        <v>3132.7013702768641</v>
      </c>
      <c r="K20" s="214">
        <f t="shared" si="10"/>
        <v>3055.6335965092667</v>
      </c>
      <c r="L20" s="214">
        <f t="shared" si="11"/>
        <v>4010.1670100355941</v>
      </c>
      <c r="M20" s="214">
        <f t="shared" si="12"/>
        <v>4990.3776321624155</v>
      </c>
      <c r="N20" s="250">
        <f t="shared" ref="N20:N36" si="14">+SUM(I20:M20)</f>
        <v>17892.955805429992</v>
      </c>
    </row>
    <row r="21" spans="1:14">
      <c r="A21" s="195">
        <v>3</v>
      </c>
      <c r="B21" s="196" t="s">
        <v>29</v>
      </c>
      <c r="C21" s="214">
        <v>626.89</v>
      </c>
      <c r="D21" s="214">
        <v>773.58</v>
      </c>
      <c r="E21" s="214">
        <v>1395.94</v>
      </c>
      <c r="F21" s="214">
        <v>2107.96</v>
      </c>
      <c r="G21" s="214">
        <v>2352.5</v>
      </c>
      <c r="H21" s="247">
        <f t="shared" si="13"/>
        <v>7256.87</v>
      </c>
      <c r="I21" s="214">
        <f t="shared" si="8"/>
        <v>592.76866235271893</v>
      </c>
      <c r="J21" s="214">
        <f t="shared" si="9"/>
        <v>673.14848407089175</v>
      </c>
      <c r="K21" s="214">
        <f t="shared" si="10"/>
        <v>1146.3358110146403</v>
      </c>
      <c r="L21" s="214">
        <f t="shared" si="11"/>
        <v>1595.7156328055285</v>
      </c>
      <c r="M21" s="214">
        <f t="shared" si="12"/>
        <v>1649.012390163412</v>
      </c>
      <c r="N21" s="250">
        <f t="shared" si="14"/>
        <v>5656.9809804071911</v>
      </c>
    </row>
    <row r="22" spans="1:14">
      <c r="A22" s="195">
        <v>4</v>
      </c>
      <c r="B22" s="196" t="s">
        <v>30</v>
      </c>
      <c r="C22" s="214">
        <v>82.7</v>
      </c>
      <c r="D22" s="214">
        <v>202.78</v>
      </c>
      <c r="E22" s="214">
        <v>88.18</v>
      </c>
      <c r="F22" s="214">
        <v>441.06</v>
      </c>
      <c r="G22" s="214">
        <v>277.96999999999997</v>
      </c>
      <c r="H22" s="247">
        <f t="shared" si="13"/>
        <v>1092.69</v>
      </c>
      <c r="I22" s="214">
        <f t="shared" si="8"/>
        <v>78.198676604459877</v>
      </c>
      <c r="J22" s="214">
        <f t="shared" si="9"/>
        <v>176.45369528671296</v>
      </c>
      <c r="K22" s="214">
        <f t="shared" si="10"/>
        <v>72.41277692112196</v>
      </c>
      <c r="L22" s="214">
        <f t="shared" si="11"/>
        <v>333.88030940113015</v>
      </c>
      <c r="M22" s="214">
        <f t="shared" si="12"/>
        <v>194.84632267533414</v>
      </c>
      <c r="N22" s="250">
        <f t="shared" si="14"/>
        <v>855.79178088875904</v>
      </c>
    </row>
    <row r="23" spans="1:14">
      <c r="A23" s="195">
        <v>5</v>
      </c>
      <c r="B23" s="196" t="s">
        <v>31</v>
      </c>
      <c r="C23" s="214">
        <v>2236.13</v>
      </c>
      <c r="D23" s="214">
        <v>1972.4200000000003</v>
      </c>
      <c r="E23" s="214">
        <v>1724.0500000000002</v>
      </c>
      <c r="F23" s="214">
        <v>2030.3500000000001</v>
      </c>
      <c r="G23" s="214">
        <v>4471.01</v>
      </c>
      <c r="H23" s="247">
        <f t="shared" si="13"/>
        <v>12433.960000000001</v>
      </c>
      <c r="I23" s="214">
        <f t="shared" si="8"/>
        <v>2114.4184608891278</v>
      </c>
      <c r="J23" s="214">
        <f t="shared" si="9"/>
        <v>1716.3467682089872</v>
      </c>
      <c r="K23" s="214">
        <f t="shared" si="10"/>
        <v>1415.7773650585202</v>
      </c>
      <c r="L23" s="214">
        <f t="shared" si="11"/>
        <v>1536.9652341916853</v>
      </c>
      <c r="M23" s="214">
        <f t="shared" si="12"/>
        <v>3134.0067530476158</v>
      </c>
      <c r="N23" s="250">
        <f t="shared" si="14"/>
        <v>9917.5145813959371</v>
      </c>
    </row>
    <row r="24" spans="1:14">
      <c r="A24" s="195">
        <v>6</v>
      </c>
      <c r="B24" s="196" t="s">
        <v>32</v>
      </c>
      <c r="C24" s="214">
        <v>391.22</v>
      </c>
      <c r="D24" s="214">
        <v>540.31000000000006</v>
      </c>
      <c r="E24" s="214">
        <v>862.48</v>
      </c>
      <c r="F24" s="214">
        <v>678.29000000000008</v>
      </c>
      <c r="G24" s="214">
        <v>1042.25</v>
      </c>
      <c r="H24" s="247">
        <f t="shared" si="13"/>
        <v>3514.55</v>
      </c>
      <c r="I24" s="214">
        <f t="shared" si="8"/>
        <v>369.92607329137604</v>
      </c>
      <c r="J24" s="214">
        <f t="shared" si="9"/>
        <v>470.16321185700707</v>
      </c>
      <c r="K24" s="214">
        <f t="shared" si="10"/>
        <v>708.26232523167687</v>
      </c>
      <c r="L24" s="214">
        <f t="shared" si="11"/>
        <v>513.46228418739543</v>
      </c>
      <c r="M24" s="214">
        <f t="shared" si="12"/>
        <v>730.57732779928415</v>
      </c>
      <c r="N24" s="250">
        <f t="shared" si="14"/>
        <v>2792.3912223667394</v>
      </c>
    </row>
    <row r="25" spans="1:14">
      <c r="A25" s="195">
        <v>7</v>
      </c>
      <c r="B25" s="196" t="s">
        <v>33</v>
      </c>
      <c r="C25" s="214">
        <v>1229.1600000000001</v>
      </c>
      <c r="D25" s="214">
        <v>1523.8600000000001</v>
      </c>
      <c r="E25" s="214">
        <v>1671.3</v>
      </c>
      <c r="F25" s="214">
        <v>2825.85</v>
      </c>
      <c r="G25" s="214">
        <v>3481.25</v>
      </c>
      <c r="H25" s="247">
        <f t="shared" si="13"/>
        <v>10731.42</v>
      </c>
      <c r="I25" s="214">
        <f t="shared" si="8"/>
        <v>1162.2573801104948</v>
      </c>
      <c r="J25" s="214">
        <f t="shared" si="9"/>
        <v>1326.0219355933052</v>
      </c>
      <c r="K25" s="214">
        <f t="shared" si="10"/>
        <v>1372.4594473607519</v>
      </c>
      <c r="L25" s="214">
        <f t="shared" si="11"/>
        <v>2139.1549274955419</v>
      </c>
      <c r="M25" s="214">
        <f t="shared" si="12"/>
        <v>2440.2229046785878</v>
      </c>
      <c r="N25" s="250">
        <f t="shared" si="14"/>
        <v>8440.11659523868</v>
      </c>
    </row>
    <row r="26" spans="1:14">
      <c r="A26" s="195">
        <v>8</v>
      </c>
      <c r="B26" s="196" t="s">
        <v>34</v>
      </c>
      <c r="C26" s="214">
        <v>1916.2509600000003</v>
      </c>
      <c r="D26" s="214">
        <v>2020.3724999999999</v>
      </c>
      <c r="E26" s="214">
        <v>2972.7816000000003</v>
      </c>
      <c r="F26" s="214">
        <v>4342.3227000000006</v>
      </c>
      <c r="G26" s="214">
        <v>4916.8900000000003</v>
      </c>
      <c r="H26" s="247">
        <f t="shared" si="13"/>
        <v>16168.617760000001</v>
      </c>
      <c r="I26" s="214">
        <f t="shared" si="8"/>
        <v>1811.9502915843507</v>
      </c>
      <c r="J26" s="214">
        <f t="shared" si="9"/>
        <v>1758.0737423841329</v>
      </c>
      <c r="K26" s="214">
        <f t="shared" si="10"/>
        <v>2441.2267048765707</v>
      </c>
      <c r="L26" s="214">
        <f t="shared" si="11"/>
        <v>3287.1175046378071</v>
      </c>
      <c r="M26" s="214">
        <f t="shared" si="12"/>
        <v>3446.5515541213936</v>
      </c>
      <c r="N26" s="250">
        <f t="shared" si="14"/>
        <v>12744.919797604254</v>
      </c>
    </row>
    <row r="27" spans="1:14">
      <c r="A27" s="195">
        <v>9</v>
      </c>
      <c r="B27" s="196" t="s">
        <v>35</v>
      </c>
      <c r="C27" s="214">
        <v>857.40000000000009</v>
      </c>
      <c r="D27" s="214">
        <v>1288.07</v>
      </c>
      <c r="E27" s="214">
        <v>765.04</v>
      </c>
      <c r="F27" s="214">
        <v>750.09</v>
      </c>
      <c r="G27" s="214">
        <v>1241.58</v>
      </c>
      <c r="H27" s="247">
        <f t="shared" si="13"/>
        <v>4902.18</v>
      </c>
      <c r="I27" s="214">
        <f t="shared" si="8"/>
        <v>810.7321078677619</v>
      </c>
      <c r="J27" s="214">
        <f t="shared" si="9"/>
        <v>1120.8438272411302</v>
      </c>
      <c r="K27" s="214">
        <f t="shared" si="10"/>
        <v>628.24530342180924</v>
      </c>
      <c r="L27" s="214">
        <f t="shared" si="11"/>
        <v>567.81454060375859</v>
      </c>
      <c r="M27" s="214">
        <f t="shared" si="12"/>
        <v>870.3000226903672</v>
      </c>
      <c r="N27" s="250">
        <f t="shared" si="14"/>
        <v>3997.9358018248272</v>
      </c>
    </row>
    <row r="28" spans="1:14">
      <c r="A28" s="195">
        <v>10</v>
      </c>
      <c r="B28" s="196" t="s">
        <v>36</v>
      </c>
      <c r="C28" s="214">
        <v>2611.98</v>
      </c>
      <c r="D28" s="214">
        <v>2823.78</v>
      </c>
      <c r="E28" s="214">
        <v>3102.44</v>
      </c>
      <c r="F28" s="214">
        <v>4520.91</v>
      </c>
      <c r="G28" s="214">
        <v>5258.52</v>
      </c>
      <c r="H28" s="247">
        <f t="shared" si="13"/>
        <v>18317.63</v>
      </c>
      <c r="I28" s="214">
        <f t="shared" si="8"/>
        <v>2469.8111162916216</v>
      </c>
      <c r="J28" s="214">
        <f t="shared" si="9"/>
        <v>2457.1773137228247</v>
      </c>
      <c r="K28" s="214">
        <f t="shared" si="10"/>
        <v>2547.7012432656566</v>
      </c>
      <c r="L28" s="214">
        <f t="shared" si="11"/>
        <v>3422.3072361462464</v>
      </c>
      <c r="M28" s="214">
        <f t="shared" si="12"/>
        <v>3686.0210983728398</v>
      </c>
      <c r="N28" s="250">
        <f t="shared" si="14"/>
        <v>14583.018007799188</v>
      </c>
    </row>
    <row r="29" spans="1:14">
      <c r="A29" s="195">
        <v>11</v>
      </c>
      <c r="B29" s="196" t="s">
        <v>37</v>
      </c>
      <c r="C29" s="214">
        <v>3779.66</v>
      </c>
      <c r="D29" s="214">
        <v>6682.96</v>
      </c>
      <c r="E29" s="214">
        <v>5396.09</v>
      </c>
      <c r="F29" s="214">
        <v>7392.4599999999991</v>
      </c>
      <c r="G29" s="214">
        <v>7497.42</v>
      </c>
      <c r="H29" s="247">
        <f t="shared" si="13"/>
        <v>30748.589999999997</v>
      </c>
      <c r="I29" s="214">
        <f t="shared" si="8"/>
        <v>3573.9348248465881</v>
      </c>
      <c r="J29" s="214">
        <f t="shared" si="9"/>
        <v>5815.3318249003414</v>
      </c>
      <c r="K29" s="214">
        <f t="shared" si="10"/>
        <v>4431.2300001848143</v>
      </c>
      <c r="L29" s="214">
        <f t="shared" si="11"/>
        <v>5596.0568449541524</v>
      </c>
      <c r="M29" s="214">
        <f t="shared" si="12"/>
        <v>5255.4042398550337</v>
      </c>
      <c r="N29" s="250">
        <f t="shared" si="14"/>
        <v>24671.957734740929</v>
      </c>
    </row>
    <row r="30" spans="1:14">
      <c r="A30" s="195">
        <v>12</v>
      </c>
      <c r="B30" s="196" t="s">
        <v>104</v>
      </c>
      <c r="C30" s="214">
        <v>2162.7399999999998</v>
      </c>
      <c r="D30" s="214">
        <v>2750.76</v>
      </c>
      <c r="E30" s="214">
        <v>2776.7436000000007</v>
      </c>
      <c r="F30" s="214">
        <v>3276.4300000000003</v>
      </c>
      <c r="G30" s="214">
        <v>4345.33</v>
      </c>
      <c r="H30" s="247">
        <f t="shared" si="13"/>
        <v>15312.003600000002</v>
      </c>
      <c r="I30" s="214">
        <f t="shared" si="8"/>
        <v>2045.0230452180115</v>
      </c>
      <c r="J30" s="214">
        <f t="shared" si="9"/>
        <v>2393.6372760966497</v>
      </c>
      <c r="K30" s="214">
        <f t="shared" si="10"/>
        <v>2280.2417200493664</v>
      </c>
      <c r="L30" s="214">
        <f t="shared" si="11"/>
        <v>2480.2418313407361</v>
      </c>
      <c r="M30" s="214">
        <f t="shared" si="12"/>
        <v>3045.9098870770576</v>
      </c>
      <c r="N30" s="250">
        <f t="shared" si="14"/>
        <v>12245.053759781822</v>
      </c>
    </row>
    <row r="31" spans="1:14">
      <c r="A31" s="195">
        <v>13</v>
      </c>
      <c r="B31" s="196" t="s">
        <v>39</v>
      </c>
      <c r="C31" s="214">
        <v>617.66999999999996</v>
      </c>
      <c r="D31" s="214">
        <v>629.45000000000005</v>
      </c>
      <c r="E31" s="214">
        <v>1279.25</v>
      </c>
      <c r="F31" s="214">
        <v>954.65</v>
      </c>
      <c r="G31" s="214">
        <v>1499.67</v>
      </c>
      <c r="H31" s="247">
        <f t="shared" si="13"/>
        <v>4980.6900000000005</v>
      </c>
      <c r="I31" s="214">
        <f t="shared" si="8"/>
        <v>584.05050276029908</v>
      </c>
      <c r="J31" s="214">
        <f t="shared" si="9"/>
        <v>547.73043938367437</v>
      </c>
      <c r="K31" s="214">
        <f t="shared" si="10"/>
        <v>1050.5108287179094</v>
      </c>
      <c r="L31" s="214">
        <f t="shared" si="11"/>
        <v>722.66548172536375</v>
      </c>
      <c r="M31" s="214">
        <f t="shared" si="12"/>
        <v>1051.2112268464884</v>
      </c>
      <c r="N31" s="250">
        <f t="shared" si="14"/>
        <v>3956.1684794337348</v>
      </c>
    </row>
    <row r="32" spans="1:14">
      <c r="A32" s="195">
        <v>14</v>
      </c>
      <c r="B32" s="196" t="s">
        <v>40</v>
      </c>
      <c r="C32" s="214">
        <v>1768.6100000000001</v>
      </c>
      <c r="D32" s="214">
        <v>2077.63</v>
      </c>
      <c r="E32" s="214">
        <v>1605.8899999999999</v>
      </c>
      <c r="F32" s="214">
        <v>2488.02</v>
      </c>
      <c r="G32" s="214">
        <v>2905.62</v>
      </c>
      <c r="H32" s="247">
        <f t="shared" si="13"/>
        <v>10845.77</v>
      </c>
      <c r="I32" s="214">
        <f t="shared" si="8"/>
        <v>1672.3453619034317</v>
      </c>
      <c r="J32" s="214">
        <f t="shared" si="9"/>
        <v>1807.897676982609</v>
      </c>
      <c r="K32" s="214">
        <f t="shared" si="10"/>
        <v>1318.7452294155196</v>
      </c>
      <c r="L32" s="214">
        <f t="shared" si="11"/>
        <v>1883.4192341091912</v>
      </c>
      <c r="M32" s="214">
        <f t="shared" si="12"/>
        <v>2036.7283235309724</v>
      </c>
      <c r="N32" s="250">
        <f t="shared" si="14"/>
        <v>8719.1358259417248</v>
      </c>
    </row>
    <row r="33" spans="1:14">
      <c r="A33" s="195">
        <v>15</v>
      </c>
      <c r="B33" s="196" t="s">
        <v>41</v>
      </c>
      <c r="C33" s="214">
        <v>2165.79</v>
      </c>
      <c r="D33" s="214">
        <v>3377.69</v>
      </c>
      <c r="E33" s="214">
        <v>2253.25</v>
      </c>
      <c r="F33" s="214">
        <v>2141.9</v>
      </c>
      <c r="G33" s="214">
        <v>2892.5299999999997</v>
      </c>
      <c r="H33" s="247">
        <f t="shared" si="13"/>
        <v>12831.16</v>
      </c>
      <c r="I33" s="214">
        <f t="shared" si="8"/>
        <v>2047.9070351048749</v>
      </c>
      <c r="J33" s="214">
        <f t="shared" si="9"/>
        <v>2939.1748793420334</v>
      </c>
      <c r="K33" s="214">
        <f t="shared" si="10"/>
        <v>1850.3525697155594</v>
      </c>
      <c r="L33" s="214">
        <f t="shared" si="11"/>
        <v>1621.4080503928735</v>
      </c>
      <c r="M33" s="214">
        <f t="shared" si="12"/>
        <v>2027.5527349285328</v>
      </c>
      <c r="N33" s="250">
        <f t="shared" si="14"/>
        <v>10486.395269483874</v>
      </c>
    </row>
    <row r="34" spans="1:14">
      <c r="A34" s="195">
        <v>16</v>
      </c>
      <c r="B34" s="196" t="s">
        <v>42</v>
      </c>
      <c r="C34" s="214">
        <v>2795.49</v>
      </c>
      <c r="D34" s="214">
        <v>5195.76</v>
      </c>
      <c r="E34" s="214">
        <v>5773.3899999999994</v>
      </c>
      <c r="F34" s="214">
        <v>6874.2</v>
      </c>
      <c r="G34" s="214">
        <v>7701.51</v>
      </c>
      <c r="H34" s="247">
        <f t="shared" si="13"/>
        <v>28340.35</v>
      </c>
      <c r="I34" s="214">
        <f t="shared" si="8"/>
        <v>2643.3327504353269</v>
      </c>
      <c r="J34" s="214">
        <f t="shared" si="9"/>
        <v>4521.2104340807364</v>
      </c>
      <c r="K34" s="214">
        <f t="shared" si="10"/>
        <v>4741.066025727333</v>
      </c>
      <c r="L34" s="214">
        <f t="shared" si="11"/>
        <v>5203.7365049772116</v>
      </c>
      <c r="M34" s="214">
        <f t="shared" si="12"/>
        <v>5398.4635124197321</v>
      </c>
      <c r="N34" s="250">
        <f t="shared" si="14"/>
        <v>22507.80922764034</v>
      </c>
    </row>
    <row r="35" spans="1:14">
      <c r="A35" s="195">
        <v>17</v>
      </c>
      <c r="B35" s="196" t="s">
        <v>43</v>
      </c>
      <c r="C35" s="214">
        <v>2420.8999999999996</v>
      </c>
      <c r="D35" s="214">
        <v>3015.94</v>
      </c>
      <c r="E35" s="214">
        <v>2733.4799999999996</v>
      </c>
      <c r="F35" s="214">
        <v>4162.96</v>
      </c>
      <c r="G35" s="214">
        <v>4563.2299999999996</v>
      </c>
      <c r="H35" s="247">
        <f t="shared" si="13"/>
        <v>16896.509999999998</v>
      </c>
      <c r="I35" s="214">
        <f t="shared" si="8"/>
        <v>2289.1315138057666</v>
      </c>
      <c r="J35" s="214">
        <f t="shared" si="9"/>
        <v>2624.3897709981711</v>
      </c>
      <c r="K35" s="214">
        <f t="shared" si="10"/>
        <v>2244.7139652795236</v>
      </c>
      <c r="L35" s="214">
        <f t="shared" si="11"/>
        <v>3151.3407990398787</v>
      </c>
      <c r="M35" s="214">
        <f t="shared" si="12"/>
        <v>3198.6494406654137</v>
      </c>
      <c r="N35" s="250">
        <f t="shared" si="14"/>
        <v>13508.225489788754</v>
      </c>
    </row>
    <row r="36" spans="1:14">
      <c r="A36" s="193"/>
      <c r="B36" s="194" t="s">
        <v>139</v>
      </c>
      <c r="C36" s="216">
        <f t="shared" ref="C36:M36" si="15">SUM(C19:C35)</f>
        <v>32314.740959999996</v>
      </c>
      <c r="D36" s="216">
        <f t="shared" si="15"/>
        <v>42514.892500000009</v>
      </c>
      <c r="E36" s="216">
        <f t="shared" si="15"/>
        <v>42375.655199999994</v>
      </c>
      <c r="F36" s="216">
        <f t="shared" si="15"/>
        <v>53603.522699999994</v>
      </c>
      <c r="G36" s="216">
        <f t="shared" si="15"/>
        <v>67391.94</v>
      </c>
      <c r="H36" s="247">
        <f t="shared" si="13"/>
        <v>238200.75135999999</v>
      </c>
      <c r="I36" s="216">
        <f t="shared" si="15"/>
        <v>30555.86430336074</v>
      </c>
      <c r="J36" s="216">
        <f t="shared" si="15"/>
        <v>36995.314559337006</v>
      </c>
      <c r="K36" s="216">
        <f t="shared" si="15"/>
        <v>34798.580935404643</v>
      </c>
      <c r="L36" s="216">
        <f t="shared" si="15"/>
        <v>40577.610175637114</v>
      </c>
      <c r="M36" s="216">
        <f t="shared" si="15"/>
        <v>47239.168568395005</v>
      </c>
      <c r="N36" s="250">
        <f t="shared" si="14"/>
        <v>190166.53854213451</v>
      </c>
    </row>
    <row r="37" spans="1:14">
      <c r="A37" s="193"/>
      <c r="B37" s="194" t="s">
        <v>175</v>
      </c>
      <c r="C37" s="216">
        <f>C36+C17</f>
        <v>49396.350959999996</v>
      </c>
      <c r="D37" s="216">
        <f>D36+D17</f>
        <v>61699.991500000011</v>
      </c>
      <c r="E37" s="216">
        <f>E36+E17</f>
        <v>68077.143299999996</v>
      </c>
      <c r="F37" s="216">
        <f>F36+F17</f>
        <v>82175.406799999997</v>
      </c>
      <c r="G37" s="216">
        <f>G36+G17</f>
        <v>103624.66</v>
      </c>
      <c r="H37" s="247">
        <f t="shared" ref="H37:H42" si="16">+SUM(C37:G37)</f>
        <v>364973.55255999998</v>
      </c>
      <c r="I37" s="216">
        <f>I36+I17</f>
        <v>46707.730038227826</v>
      </c>
      <c r="J37" s="216">
        <f>J36+J17</f>
        <v>53689.6710688124</v>
      </c>
      <c r="K37" s="216">
        <f>K36+K17</f>
        <v>55904.456693242821</v>
      </c>
      <c r="L37" s="216">
        <f>L36+L17</f>
        <v>62206.389714659541</v>
      </c>
      <c r="M37" s="216">
        <f>M36+M17</f>
        <v>72636.91743526925</v>
      </c>
      <c r="N37" s="250">
        <f t="shared" ref="N37:N42" si="17">+SUM(I37:M37)</f>
        <v>291145.16495021188</v>
      </c>
    </row>
    <row r="38" spans="1:14">
      <c r="A38" s="193" t="s">
        <v>271</v>
      </c>
      <c r="B38" s="194" t="s">
        <v>277</v>
      </c>
      <c r="C38" s="216"/>
      <c r="D38" s="216"/>
      <c r="E38" s="216"/>
      <c r="F38" s="216"/>
      <c r="G38" s="216"/>
      <c r="H38" s="247"/>
      <c r="I38" s="216"/>
      <c r="J38" s="216"/>
      <c r="K38" s="216"/>
      <c r="L38" s="216"/>
      <c r="M38" s="216"/>
      <c r="N38" s="250"/>
    </row>
    <row r="39" spans="1:14">
      <c r="A39" s="195">
        <v>1</v>
      </c>
      <c r="B39" s="196" t="s">
        <v>145</v>
      </c>
      <c r="C39" s="214">
        <v>720.30000000000007</v>
      </c>
      <c r="D39" s="214">
        <v>793.1</v>
      </c>
      <c r="E39" s="214">
        <v>1472.23</v>
      </c>
      <c r="F39" s="214">
        <v>1080.51</v>
      </c>
      <c r="G39" s="214">
        <v>1257.8599999999999</v>
      </c>
      <c r="H39" s="247">
        <f t="shared" si="16"/>
        <v>5324</v>
      </c>
      <c r="I39" s="214">
        <f t="shared" ref="I39:M40" si="18">+C39/C$45</f>
        <v>681.09439852711557</v>
      </c>
      <c r="J39" s="214">
        <f t="shared" si="18"/>
        <v>690.1342624119344</v>
      </c>
      <c r="K39" s="214">
        <f t="shared" si="18"/>
        <v>1208.9846061077724</v>
      </c>
      <c r="L39" s="214">
        <f t="shared" si="18"/>
        <v>817.94089944908887</v>
      </c>
      <c r="M39" s="214">
        <f t="shared" si="18"/>
        <v>881.71167910348527</v>
      </c>
      <c r="N39" s="250">
        <f t="shared" si="17"/>
        <v>4279.8658455993964</v>
      </c>
    </row>
    <row r="40" spans="1:14">
      <c r="A40" s="195">
        <v>2</v>
      </c>
      <c r="B40" s="196" t="s">
        <v>47</v>
      </c>
      <c r="C40" s="214">
        <v>257.49</v>
      </c>
      <c r="D40" s="214">
        <v>156.91</v>
      </c>
      <c r="E40" s="214">
        <v>218.21</v>
      </c>
      <c r="F40" s="214">
        <v>180.42</v>
      </c>
      <c r="G40" s="214">
        <v>379.77</v>
      </c>
      <c r="H40" s="247">
        <f t="shared" si="16"/>
        <v>1192.8</v>
      </c>
      <c r="I40" s="214">
        <f t="shared" si="18"/>
        <v>243.47493638310007</v>
      </c>
      <c r="J40" s="214">
        <f t="shared" si="18"/>
        <v>136.53885653140412</v>
      </c>
      <c r="K40" s="214">
        <f t="shared" si="18"/>
        <v>179.19247053706081</v>
      </c>
      <c r="L40" s="214">
        <f t="shared" si="18"/>
        <v>136.57707663844351</v>
      </c>
      <c r="M40" s="214">
        <f t="shared" si="18"/>
        <v>266.20422334212918</v>
      </c>
      <c r="N40" s="250">
        <f t="shared" si="17"/>
        <v>961.98756343213768</v>
      </c>
    </row>
    <row r="41" spans="1:14">
      <c r="A41" s="211"/>
      <c r="B41" s="198" t="s">
        <v>146</v>
      </c>
      <c r="C41" s="214">
        <f t="shared" ref="C41:M41" si="19">SUM(C39:C40)</f>
        <v>977.79000000000008</v>
      </c>
      <c r="D41" s="214">
        <f t="shared" si="19"/>
        <v>950.01</v>
      </c>
      <c r="E41" s="214">
        <f t="shared" si="19"/>
        <v>1690.44</v>
      </c>
      <c r="F41" s="214">
        <f t="shared" si="19"/>
        <v>1260.93</v>
      </c>
      <c r="G41" s="214">
        <f t="shared" si="19"/>
        <v>1637.6299999999999</v>
      </c>
      <c r="H41" s="247">
        <f t="shared" si="16"/>
        <v>6516.8</v>
      </c>
      <c r="I41" s="214">
        <f t="shared" si="19"/>
        <v>924.56933491021562</v>
      </c>
      <c r="J41" s="214">
        <f t="shared" si="19"/>
        <v>826.67311894333852</v>
      </c>
      <c r="K41" s="214">
        <f t="shared" si="19"/>
        <v>1388.1770766448333</v>
      </c>
      <c r="L41" s="214">
        <f t="shared" si="19"/>
        <v>954.51797608753236</v>
      </c>
      <c r="M41" s="214">
        <f t="shared" si="19"/>
        <v>1147.9159024456144</v>
      </c>
      <c r="N41" s="250">
        <f t="shared" si="17"/>
        <v>5241.8534090315352</v>
      </c>
    </row>
    <row r="42" spans="1:14" s="148" customFormat="1" ht="15">
      <c r="A42" s="212"/>
      <c r="B42" s="198" t="s">
        <v>147</v>
      </c>
      <c r="C42" s="216">
        <f t="shared" ref="C42:M42" si="20">C37+C41</f>
        <v>50374.140959999997</v>
      </c>
      <c r="D42" s="216">
        <f t="shared" si="20"/>
        <v>62650.001500000013</v>
      </c>
      <c r="E42" s="216">
        <f t="shared" si="20"/>
        <v>69767.583299999998</v>
      </c>
      <c r="F42" s="216">
        <f t="shared" si="20"/>
        <v>83436.33679999999</v>
      </c>
      <c r="G42" s="216">
        <f t="shared" si="20"/>
        <v>105262.29000000001</v>
      </c>
      <c r="H42" s="247">
        <f t="shared" si="16"/>
        <v>371490.35256000003</v>
      </c>
      <c r="I42" s="216">
        <f t="shared" si="20"/>
        <v>47632.299373138041</v>
      </c>
      <c r="J42" s="216">
        <f t="shared" si="20"/>
        <v>54516.344187755742</v>
      </c>
      <c r="K42" s="216">
        <f t="shared" si="20"/>
        <v>57292.633769887652</v>
      </c>
      <c r="L42" s="216">
        <f t="shared" si="20"/>
        <v>63160.907690747074</v>
      </c>
      <c r="M42" s="216">
        <f t="shared" si="20"/>
        <v>73784.833337714867</v>
      </c>
      <c r="N42" s="250">
        <f t="shared" si="17"/>
        <v>296387.0183592434</v>
      </c>
    </row>
    <row r="43" spans="1:14">
      <c r="B43" s="545" t="s">
        <v>181</v>
      </c>
      <c r="C43" s="545"/>
      <c r="D43" s="545"/>
      <c r="E43" s="545"/>
      <c r="F43" s="545"/>
      <c r="G43" s="545"/>
      <c r="H43" s="545"/>
      <c r="I43" s="545"/>
      <c r="J43" s="545"/>
      <c r="K43" s="545"/>
    </row>
    <row r="44" spans="1:14">
      <c r="C44" s="203" t="s">
        <v>55</v>
      </c>
      <c r="D44" s="203" t="s">
        <v>56</v>
      </c>
      <c r="E44" s="203" t="s">
        <v>7</v>
      </c>
      <c r="F44" s="203" t="s">
        <v>8</v>
      </c>
      <c r="G44" s="204" t="s">
        <v>9</v>
      </c>
      <c r="H44" s="204"/>
    </row>
    <row r="45" spans="1:14" ht="30.75">
      <c r="B45" s="207" t="s">
        <v>148</v>
      </c>
      <c r="C45" s="185">
        <v>1.0575626543951435</v>
      </c>
      <c r="D45" s="185">
        <v>1.1491966754819751</v>
      </c>
      <c r="E45" s="185">
        <v>1.2177408980745625</v>
      </c>
      <c r="F45" s="185">
        <v>1.321012313637526</v>
      </c>
      <c r="G45" s="185">
        <v>1.426611476076826</v>
      </c>
      <c r="H45" s="185"/>
    </row>
    <row r="46" spans="1:14">
      <c r="C46" s="186">
        <v>257.49</v>
      </c>
      <c r="D46" s="186">
        <v>156.9</v>
      </c>
      <c r="E46" s="186"/>
      <c r="F46" s="186"/>
      <c r="G46" s="186"/>
      <c r="H46" s="186"/>
    </row>
    <row r="49" spans="3:9">
      <c r="C49" s="146"/>
      <c r="D49" s="146"/>
      <c r="E49" s="146"/>
      <c r="F49" s="146"/>
      <c r="G49" s="146"/>
      <c r="H49" s="146"/>
      <c r="I49" s="146"/>
    </row>
    <row r="50" spans="3:9">
      <c r="C50" s="146"/>
      <c r="D50" s="146"/>
      <c r="E50" s="146"/>
      <c r="F50" s="146"/>
      <c r="G50" s="146"/>
      <c r="H50" s="146"/>
      <c r="I50" s="146"/>
    </row>
    <row r="52" spans="3:9">
      <c r="C52" s="146"/>
      <c r="D52" s="146"/>
      <c r="E52" s="146"/>
      <c r="F52" s="146"/>
      <c r="G52" s="146"/>
      <c r="H52" s="146"/>
      <c r="I52" s="146"/>
    </row>
  </sheetData>
  <mergeCells count="7">
    <mergeCell ref="M1:N1"/>
    <mergeCell ref="I2:N2"/>
    <mergeCell ref="B43:K43"/>
    <mergeCell ref="A1:L1"/>
    <mergeCell ref="B2:B3"/>
    <mergeCell ref="A2:A3"/>
    <mergeCell ref="C2:H2"/>
  </mergeCells>
  <phoneticPr fontId="63" type="noConversion"/>
  <printOptions horizontalCentered="1"/>
  <pageMargins left="0.23622047244094491" right="0.27559055118110237" top="0.78740157480314965" bottom="0.39370078740157483" header="0" footer="0"/>
  <pageSetup paperSize="9" scale="71" orientation="landscape" horizontalDpi="4294967295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51"/>
  <sheetViews>
    <sheetView view="pageBreakPreview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2" sqref="C2:N2"/>
    </sheetView>
  </sheetViews>
  <sheetFormatPr defaultRowHeight="15.75"/>
  <cols>
    <col min="1" max="1" width="5.28515625" style="205" customWidth="1"/>
    <col min="2" max="2" width="35.28515625" style="206" customWidth="1"/>
    <col min="3" max="13" width="12.42578125" style="147" customWidth="1"/>
    <col min="14" max="14" width="12.5703125" style="147" customWidth="1"/>
    <col min="15" max="16384" width="9.140625" style="147"/>
  </cols>
  <sheetData>
    <row r="1" spans="1:14" s="258" customFormat="1" ht="24" customHeight="1">
      <c r="A1" s="536" t="s">
        <v>194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47" t="s">
        <v>128</v>
      </c>
      <c r="N1" s="547"/>
    </row>
    <row r="2" spans="1:14" s="258" customFormat="1" ht="24" customHeight="1">
      <c r="A2" s="548" t="s">
        <v>99</v>
      </c>
      <c r="B2" s="554" t="s">
        <v>129</v>
      </c>
      <c r="C2" s="549" t="s">
        <v>192</v>
      </c>
      <c r="D2" s="549"/>
      <c r="E2" s="549"/>
      <c r="F2" s="549"/>
      <c r="G2" s="549"/>
      <c r="H2" s="549"/>
      <c r="I2" s="549" t="s">
        <v>193</v>
      </c>
      <c r="J2" s="549"/>
      <c r="K2" s="549"/>
      <c r="L2" s="549"/>
      <c r="M2" s="549"/>
      <c r="N2" s="549"/>
    </row>
    <row r="3" spans="1:14" s="258" customFormat="1" ht="15" customHeight="1">
      <c r="A3" s="548"/>
      <c r="B3" s="554"/>
      <c r="C3" s="190" t="s">
        <v>55</v>
      </c>
      <c r="D3" s="190" t="s">
        <v>56</v>
      </c>
      <c r="E3" s="190" t="s">
        <v>7</v>
      </c>
      <c r="F3" s="190" t="s">
        <v>8</v>
      </c>
      <c r="G3" s="190" t="s">
        <v>9</v>
      </c>
      <c r="H3" s="264" t="s">
        <v>130</v>
      </c>
      <c r="I3" s="190" t="s">
        <v>55</v>
      </c>
      <c r="J3" s="190" t="s">
        <v>56</v>
      </c>
      <c r="K3" s="190" t="s">
        <v>7</v>
      </c>
      <c r="L3" s="190" t="s">
        <v>8</v>
      </c>
      <c r="M3" s="190" t="s">
        <v>9</v>
      </c>
      <c r="N3" s="269" t="s">
        <v>130</v>
      </c>
    </row>
    <row r="4" spans="1:14" s="258" customFormat="1" ht="15">
      <c r="A4" s="123"/>
      <c r="B4" s="123"/>
      <c r="C4" s="190" t="s">
        <v>10</v>
      </c>
      <c r="D4" s="190" t="s">
        <v>10</v>
      </c>
      <c r="E4" s="190" t="s">
        <v>10</v>
      </c>
      <c r="F4" s="190" t="s">
        <v>133</v>
      </c>
      <c r="G4" s="190" t="s">
        <v>134</v>
      </c>
      <c r="H4" s="264" t="s">
        <v>172</v>
      </c>
      <c r="I4" s="190" t="s">
        <v>10</v>
      </c>
      <c r="J4" s="190" t="s">
        <v>10</v>
      </c>
      <c r="K4" s="190" t="s">
        <v>10</v>
      </c>
      <c r="L4" s="190" t="s">
        <v>133</v>
      </c>
      <c r="M4" s="190" t="s">
        <v>134</v>
      </c>
      <c r="N4" s="269" t="s">
        <v>172</v>
      </c>
    </row>
    <row r="5" spans="1:14">
      <c r="A5" s="193" t="s">
        <v>137</v>
      </c>
      <c r="B5" s="194" t="s">
        <v>141</v>
      </c>
      <c r="C5" s="173"/>
      <c r="D5" s="173"/>
      <c r="E5" s="173"/>
      <c r="F5" s="173"/>
      <c r="G5" s="173"/>
      <c r="H5" s="252"/>
      <c r="I5" s="173"/>
      <c r="J5" s="173"/>
      <c r="K5" s="173"/>
      <c r="L5" s="173"/>
      <c r="M5" s="173"/>
      <c r="N5" s="276"/>
    </row>
    <row r="6" spans="1:14">
      <c r="A6" s="195">
        <v>1</v>
      </c>
      <c r="B6" s="196" t="s">
        <v>14</v>
      </c>
      <c r="C6" s="173">
        <f ca="1">'Central Assistance'!C6/'Aggregate As% of GSDP'!I6*100</f>
        <v>24.639708939708939</v>
      </c>
      <c r="D6" s="173">
        <f ca="1">'Central Assistance'!D6/'Aggregate As% of GSDP'!J6*100</f>
        <v>31.905925795674346</v>
      </c>
      <c r="E6" s="173">
        <f ca="1">'Central Assistance'!E6/'Aggregate As% of GSDP'!K6*100</f>
        <v>30.613408609738883</v>
      </c>
      <c r="F6" s="173">
        <f ca="1">'Central Assistance'!F6/'Aggregate As% of GSDP'!L6*100</f>
        <v>25.440544151585083</v>
      </c>
      <c r="G6" s="173">
        <f ca="1">'Central Assistance'!G6/'Aggregate As% of GSDP'!M6*100</f>
        <v>25.874211820027789</v>
      </c>
      <c r="H6" s="251">
        <f t="shared" ref="H6:H17" si="0">+AVERAGE(C6:G6)</f>
        <v>27.694759863347009</v>
      </c>
      <c r="I6" s="173">
        <f ca="1">'Central Assistance'!C6/'Aggregate As% of GSDP'!D6*100</f>
        <v>80.621067310635681</v>
      </c>
      <c r="J6" s="173">
        <f ca="1">'Central Assistance'!D6/'Aggregate As% of GSDP'!E6*100</f>
        <v>86.423216514093568</v>
      </c>
      <c r="K6" s="173">
        <f ca="1">'Central Assistance'!E6/'Aggregate As% of GSDP'!F6*100</f>
        <v>102.35433468455501</v>
      </c>
      <c r="L6" s="173">
        <f ca="1">'Central Assistance'!F6/'Aggregate As% of GSDP'!G6*100</f>
        <v>102.89599473366182</v>
      </c>
      <c r="M6" s="173">
        <f ca="1">'Central Assistance'!G6/'Aggregate As% of GSDP'!H6*100</f>
        <v>91.689421281656053</v>
      </c>
      <c r="N6" s="255">
        <f t="shared" ref="N6:N17" si="1">+AVERAGE(I6:M6)</f>
        <v>92.79680690492043</v>
      </c>
    </row>
    <row r="7" spans="1:14">
      <c r="A7" s="195">
        <v>2</v>
      </c>
      <c r="B7" s="196" t="s">
        <v>15</v>
      </c>
      <c r="C7" s="173">
        <f ca="1">'Central Assistance'!C7/'Aggregate As% of GSDP'!I7*100</f>
        <v>4.0128454049186786</v>
      </c>
      <c r="D7" s="173">
        <f ca="1">'Central Assistance'!D7/'Aggregate As% of GSDP'!J7*100</f>
        <v>4.7601820558995485</v>
      </c>
      <c r="E7" s="173">
        <f ca="1">'Central Assistance'!E7/'Aggregate As% of GSDP'!K7*100</f>
        <v>3.6754154221076814</v>
      </c>
      <c r="F7" s="173">
        <f ca="1">'Central Assistance'!F7/'Aggregate As% of GSDP'!L7*100</f>
        <v>4.1131663702350627</v>
      </c>
      <c r="G7" s="173">
        <f ca="1">'Central Assistance'!G7/'Aggregate As% of GSDP'!M7*100</f>
        <v>5.4493622625814506</v>
      </c>
      <c r="H7" s="251">
        <f t="shared" si="0"/>
        <v>4.4021943031484838</v>
      </c>
      <c r="I7" s="173">
        <f ca="1">'Central Assistance'!C7/'Aggregate As% of GSDP'!D7*100</f>
        <v>63.525971263561424</v>
      </c>
      <c r="J7" s="173">
        <f ca="1">'Central Assistance'!D7/'Aggregate As% of GSDP'!E7*100</f>
        <v>54.638341851542485</v>
      </c>
      <c r="K7" s="173">
        <f ca="1">'Central Assistance'!E7/'Aggregate As% of GSDP'!F7*100</f>
        <v>54.467631544043527</v>
      </c>
      <c r="L7" s="173">
        <f ca="1">'Central Assistance'!F7/'Aggregate As% of GSDP'!G7*100</f>
        <v>55.962197514715498</v>
      </c>
      <c r="M7" s="173">
        <f ca="1">'Central Assistance'!G7/'Aggregate As% of GSDP'!H7*100</f>
        <v>69.877748025385529</v>
      </c>
      <c r="N7" s="255">
        <f t="shared" si="1"/>
        <v>59.694378039849695</v>
      </c>
    </row>
    <row r="8" spans="1:14">
      <c r="A8" s="195">
        <v>3</v>
      </c>
      <c r="B8" s="196" t="s">
        <v>16</v>
      </c>
      <c r="C8" s="173">
        <f ca="1">'Central Assistance'!C8/'Aggregate As% of GSDP'!I8*100</f>
        <v>4.3835055796013309</v>
      </c>
      <c r="D8" s="173">
        <f ca="1">'Central Assistance'!D8/'Aggregate As% of GSDP'!J8*100</f>
        <v>4.0989561989248608</v>
      </c>
      <c r="E8" s="173">
        <f ca="1">'Central Assistance'!E8/'Aggregate As% of GSDP'!K8*100</f>
        <v>4.6545477183589616</v>
      </c>
      <c r="F8" s="173">
        <f ca="1">'Central Assistance'!F8/'Aggregate As% of GSDP'!L8*100</f>
        <v>4.7460396657103647</v>
      </c>
      <c r="G8" s="173">
        <f ca="1">'Central Assistance'!G8/'Aggregate As% of GSDP'!M8*100</f>
        <v>4.9718937013468922</v>
      </c>
      <c r="H8" s="251">
        <f t="shared" si="0"/>
        <v>4.5709885727884823</v>
      </c>
      <c r="I8" s="173">
        <f ca="1">'Central Assistance'!C8/'Aggregate As% of GSDP'!D8*100</f>
        <v>53.849631783786911</v>
      </c>
      <c r="J8" s="173">
        <f ca="1">'Central Assistance'!D8/'Aggregate As% of GSDP'!E8*100</f>
        <v>85.893323499845934</v>
      </c>
      <c r="K8" s="173">
        <f ca="1">'Central Assistance'!E8/'Aggregate As% of GSDP'!F8*100</f>
        <v>100.68138971182334</v>
      </c>
      <c r="L8" s="173">
        <f ca="1">'Central Assistance'!F8/'Aggregate As% of GSDP'!G8*100</f>
        <v>87.69302190819235</v>
      </c>
      <c r="M8" s="173">
        <f ca="1">'Central Assistance'!G8/'Aggregate As% of GSDP'!H8*100</f>
        <v>95.416666666666671</v>
      </c>
      <c r="N8" s="255">
        <f t="shared" si="1"/>
        <v>84.706806714063049</v>
      </c>
    </row>
    <row r="9" spans="1:14">
      <c r="A9" s="195">
        <v>4</v>
      </c>
      <c r="B9" s="196" t="s">
        <v>142</v>
      </c>
      <c r="C9" s="173">
        <f ca="1">'Central Assistance'!C9/'Aggregate As% of GSDP'!I9*100</f>
        <v>12.042319199978436</v>
      </c>
      <c r="D9" s="173">
        <f ca="1">'Central Assistance'!D9/'Aggregate As% of GSDP'!J9*100</f>
        <v>9.9303792981212329</v>
      </c>
      <c r="E9" s="173">
        <f ca="1">'Central Assistance'!E9/'Aggregate As% of GSDP'!K9*100</f>
        <v>16.014137489148858</v>
      </c>
      <c r="F9" s="173">
        <f ca="1">'Central Assistance'!F9/'Aggregate As% of GSDP'!L9*100</f>
        <v>13.852974064855896</v>
      </c>
      <c r="G9" s="173">
        <f ca="1">'Central Assistance'!G9/'Aggregate As% of GSDP'!M9*100</f>
        <v>14.142320212615392</v>
      </c>
      <c r="H9" s="251">
        <f t="shared" si="0"/>
        <v>13.196426052943963</v>
      </c>
      <c r="I9" s="173">
        <f ca="1">'Central Assistance'!C9/'Aggregate As% of GSDP'!D9*100</f>
        <v>107.27899242396958</v>
      </c>
      <c r="J9" s="173">
        <f ca="1">'Central Assistance'!D9/'Aggregate As% of GSDP'!E9*100</f>
        <v>83.937556805129702</v>
      </c>
      <c r="K9" s="173">
        <f ca="1">'Central Assistance'!E9/'Aggregate As% of GSDP'!F9*100</f>
        <v>115.84158267809539</v>
      </c>
      <c r="L9" s="173">
        <f ca="1">'Central Assistance'!F9/'Aggregate As% of GSDP'!G9*100</f>
        <v>133.16320073508382</v>
      </c>
      <c r="M9" s="173">
        <f ca="1">'Central Assistance'!G9/'Aggregate As% of GSDP'!H9*100</f>
        <v>188.40052625845311</v>
      </c>
      <c r="N9" s="255">
        <f t="shared" si="1"/>
        <v>125.72437178014634</v>
      </c>
    </row>
    <row r="10" spans="1:14">
      <c r="A10" s="195">
        <v>5</v>
      </c>
      <c r="B10" s="196" t="s">
        <v>18</v>
      </c>
      <c r="C10" s="173">
        <f ca="1">'Central Assistance'!C10/'Aggregate As% of GSDP'!I10*100</f>
        <v>20.900928792569658</v>
      </c>
      <c r="D10" s="173">
        <f ca="1">'Central Assistance'!D10/'Aggregate As% of GSDP'!J10*100</f>
        <v>20.15177726719827</v>
      </c>
      <c r="E10" s="173">
        <f ca="1">'Central Assistance'!E10/'Aggregate As% of GSDP'!K10*100</f>
        <v>17.04041375992302</v>
      </c>
      <c r="F10" s="173">
        <f ca="1">'Central Assistance'!F10/'Aggregate As% of GSDP'!L10*100</f>
        <v>22.115894759730374</v>
      </c>
      <c r="G10" s="173">
        <f ca="1">'Central Assistance'!G10/'Aggregate As% of GSDP'!M10*100</f>
        <v>24.420691009030232</v>
      </c>
      <c r="H10" s="251">
        <f t="shared" si="0"/>
        <v>20.925941117690311</v>
      </c>
      <c r="I10" s="173">
        <f ca="1">'Central Assistance'!C10/'Aggregate As% of GSDP'!D10*100</f>
        <v>108.73343355012888</v>
      </c>
      <c r="J10" s="173">
        <f ca="1">'Central Assistance'!D10/'Aggregate As% of GSDP'!E10*100</f>
        <v>93.066643364063481</v>
      </c>
      <c r="K10" s="173">
        <f ca="1">'Central Assistance'!E10/'Aggregate As% of GSDP'!F10*100</f>
        <v>76.445830590418964</v>
      </c>
      <c r="L10" s="173">
        <f ca="1">'Central Assistance'!F10/'Aggregate As% of GSDP'!G10*100</f>
        <v>71.767208684515978</v>
      </c>
      <c r="M10" s="173">
        <f ca="1">'Central Assistance'!G10/'Aggregate As% of GSDP'!H10*100</f>
        <v>110.26061733357362</v>
      </c>
      <c r="N10" s="255">
        <f t="shared" si="1"/>
        <v>92.054746704540179</v>
      </c>
    </row>
    <row r="11" spans="1:14">
      <c r="A11" s="195">
        <v>6</v>
      </c>
      <c r="B11" s="196" t="s">
        <v>19</v>
      </c>
      <c r="C11" s="173">
        <f ca="1">'Central Assistance'!C11/'Aggregate As% of GSDP'!I11*100</f>
        <v>6.3032357473035443</v>
      </c>
      <c r="D11" s="173">
        <f ca="1">'Central Assistance'!D11/'Aggregate As% of GSDP'!J11*100</f>
        <v>7.5886201256778865</v>
      </c>
      <c r="E11" s="173">
        <f ca="1">'Central Assistance'!E11/'Aggregate As% of GSDP'!K11*100</f>
        <v>10.439688409788339</v>
      </c>
      <c r="F11" s="173">
        <f ca="1">'Central Assistance'!F11/'Aggregate As% of GSDP'!L11*100</f>
        <v>7.6033650433054101</v>
      </c>
      <c r="G11" s="173">
        <f ca="1">'Central Assistance'!G11/'Aggregate As% of GSDP'!M11*100</f>
        <v>11.444668134633531</v>
      </c>
      <c r="H11" s="251">
        <f t="shared" si="0"/>
        <v>8.6759154921417423</v>
      </c>
      <c r="I11" s="173">
        <f ca="1">'Central Assistance'!C11/'Aggregate As% of GSDP'!D11*100</f>
        <v>71.287335757519429</v>
      </c>
      <c r="J11" s="173">
        <f ca="1">'Central Assistance'!D11/'Aggregate As% of GSDP'!E11*100</f>
        <v>68.280007125651565</v>
      </c>
      <c r="K11" s="173">
        <f ca="1">'Central Assistance'!E11/'Aggregate As% of GSDP'!F11*100</f>
        <v>98.044692737430168</v>
      </c>
      <c r="L11" s="173">
        <f ca="1">'Central Assistance'!F11/'Aggregate As% of GSDP'!G11*100</f>
        <v>126.09908870417028</v>
      </c>
      <c r="M11" s="173">
        <f ca="1">'Central Assistance'!G11/'Aggregate As% of GSDP'!H11*100</f>
        <v>66.708104143747704</v>
      </c>
      <c r="N11" s="255">
        <f t="shared" si="1"/>
        <v>86.083845693703822</v>
      </c>
    </row>
    <row r="12" spans="1:14">
      <c r="A12" s="195">
        <v>7</v>
      </c>
      <c r="B12" s="196" t="s">
        <v>20</v>
      </c>
      <c r="C12" s="173">
        <f ca="1">'Central Assistance'!C12/'Aggregate As% of GSDP'!I12*100</f>
        <v>20.95754716981132</v>
      </c>
      <c r="D12" s="173">
        <f ca="1">'Central Assistance'!D12/'Aggregate As% of GSDP'!J12*100</f>
        <v>16.818440026218049</v>
      </c>
      <c r="E12" s="173">
        <f ca="1">'Central Assistance'!E12/'Aggregate As% of GSDP'!K12*100</f>
        <v>24.75532319391635</v>
      </c>
      <c r="F12" s="173">
        <f ca="1">'Central Assistance'!F12/'Aggregate As% of GSDP'!L12*100</f>
        <v>19.20237702211951</v>
      </c>
      <c r="G12" s="173">
        <f ca="1">'Central Assistance'!G12/'Aggregate As% of GSDP'!M12*100</f>
        <v>23.940767042322516</v>
      </c>
      <c r="H12" s="251">
        <f t="shared" si="0"/>
        <v>21.13489089087755</v>
      </c>
      <c r="I12" s="173">
        <f ca="1">'Central Assistance'!C12/'Aggregate As% of GSDP'!D12*100</f>
        <v>76.737960217622842</v>
      </c>
      <c r="J12" s="173">
        <f ca="1">'Central Assistance'!D12/'Aggregate As% of GSDP'!E12*100</f>
        <v>90.600725012946683</v>
      </c>
      <c r="K12" s="173">
        <f ca="1">'Central Assistance'!E12/'Aggregate As% of GSDP'!F12*100</f>
        <v>139.69553276402181</v>
      </c>
      <c r="L12" s="173">
        <f ca="1">'Central Assistance'!F12/'Aggregate As% of GSDP'!G12*100</f>
        <v>92.012718902757342</v>
      </c>
      <c r="M12" s="173">
        <f ca="1">'Central Assistance'!G12/'Aggregate As% of GSDP'!H12*100</f>
        <v>101.42469513938754</v>
      </c>
      <c r="N12" s="255">
        <f t="shared" si="1"/>
        <v>100.09432640734725</v>
      </c>
    </row>
    <row r="13" spans="1:14">
      <c r="A13" s="195">
        <v>8</v>
      </c>
      <c r="B13" s="196" t="s">
        <v>21</v>
      </c>
      <c r="C13" s="173">
        <f ca="1">'Central Assistance'!C13/'Aggregate As% of GSDP'!I13*100</f>
        <v>9.1062538699690379</v>
      </c>
      <c r="D13" s="173">
        <f ca="1">'Central Assistance'!D13/'Aggregate As% of GSDP'!J13*100</f>
        <v>9.2837007206443403</v>
      </c>
      <c r="E13" s="173">
        <f ca="1">'Central Assistance'!E13/'Aggregate As% of GSDP'!K13*100</f>
        <v>11.300924145807558</v>
      </c>
      <c r="F13" s="173">
        <f ca="1">'Central Assistance'!F13/'Aggregate As% of GSDP'!L13*100</f>
        <v>16.525022341376232</v>
      </c>
      <c r="G13" s="173">
        <f ca="1">'Central Assistance'!G13/'Aggregate As% of GSDP'!M13*100</f>
        <v>16.945277731992746</v>
      </c>
      <c r="H13" s="251">
        <f t="shared" si="0"/>
        <v>12.632235761957983</v>
      </c>
      <c r="I13" s="173">
        <f ca="1">'Central Assistance'!C13/'Aggregate As% of GSDP'!D13*100</f>
        <v>87.151255125986651</v>
      </c>
      <c r="J13" s="173">
        <f ca="1">'Central Assistance'!D13/'Aggregate As% of GSDP'!E13*100</f>
        <v>84.472151508138509</v>
      </c>
      <c r="K13" s="173">
        <f ca="1">'Central Assistance'!E13/'Aggregate As% of GSDP'!F13*100</f>
        <v>116.23077080450332</v>
      </c>
      <c r="L13" s="173">
        <f ca="1">'Central Assistance'!F13/'Aggregate As% of GSDP'!G13*100</f>
        <v>121.4038105492601</v>
      </c>
      <c r="M13" s="173">
        <f ca="1">'Central Assistance'!G13/'Aggregate As% of GSDP'!H13*100</f>
        <v>121.38891274782162</v>
      </c>
      <c r="N13" s="255">
        <f t="shared" si="1"/>
        <v>106.12938014714204</v>
      </c>
    </row>
    <row r="14" spans="1:14">
      <c r="A14" s="195">
        <v>9</v>
      </c>
      <c r="B14" s="196" t="s">
        <v>22</v>
      </c>
      <c r="C14" s="173">
        <f ca="1">'Central Assistance'!C14/'Aggregate As% of GSDP'!I14*100</f>
        <v>16.52833200319234</v>
      </c>
      <c r="D14" s="173">
        <f ca="1">'Central Assistance'!D14/'Aggregate As% of GSDP'!J14*100</f>
        <v>16.388974914834314</v>
      </c>
      <c r="E14" s="173">
        <f ca="1">'Central Assistance'!E14/'Aggregate As% of GSDP'!K14*100</f>
        <v>15.167128648296103</v>
      </c>
      <c r="F14" s="173">
        <f ca="1">'Central Assistance'!F14/'Aggregate As% of GSDP'!L14*100</f>
        <v>9.844226731980406</v>
      </c>
      <c r="G14" s="173">
        <f ca="1">'Central Assistance'!G14/'Aggregate As% of GSDP'!M14*100</f>
        <v>14.548333333333332</v>
      </c>
      <c r="H14" s="251">
        <f t="shared" si="0"/>
        <v>14.4953991263273</v>
      </c>
      <c r="I14" s="173">
        <f ca="1">'Central Assistance'!C14/'Aggregate As% of GSDP'!D14*100</f>
        <v>53.761486942526339</v>
      </c>
      <c r="J14" s="173">
        <f ca="1">'Central Assistance'!D14/'Aggregate As% of GSDP'!E14*100</f>
        <v>56.775633254299471</v>
      </c>
      <c r="K14" s="173">
        <f ca="1">'Central Assistance'!E14/'Aggregate As% of GSDP'!F14*100</f>
        <v>76.045813883143524</v>
      </c>
      <c r="L14" s="173">
        <f ca="1">'Central Assistance'!F14/'Aggregate As% of GSDP'!G14*100</f>
        <v>104.41178653603504</v>
      </c>
      <c r="M14" s="173">
        <f ca="1">'Central Assistance'!G14/'Aggregate As% of GSDP'!H14*100</f>
        <v>84.007703397650587</v>
      </c>
      <c r="N14" s="255">
        <f t="shared" si="1"/>
        <v>75.000484802730995</v>
      </c>
    </row>
    <row r="15" spans="1:14">
      <c r="A15" s="195">
        <v>10</v>
      </c>
      <c r="B15" s="196" t="s">
        <v>23</v>
      </c>
      <c r="C15" s="173">
        <f ca="1">'Central Assistance'!C15/'Aggregate As% of GSDP'!I15*100</f>
        <v>9.1591082478596242</v>
      </c>
      <c r="D15" s="173">
        <f ca="1">'Central Assistance'!D15/'Aggregate As% of GSDP'!J15*100</f>
        <v>8.5778383555588302</v>
      </c>
      <c r="E15" s="173">
        <f ca="1">'Central Assistance'!E15/'Aggregate As% of GSDP'!K15*100</f>
        <v>8.9760229345843108</v>
      </c>
      <c r="F15" s="173">
        <f ca="1">'Central Assistance'!F15/'Aggregate As% of GSDP'!L15*100</f>
        <v>9.4632196468625978</v>
      </c>
      <c r="G15" s="173">
        <f ca="1">'Central Assistance'!G15/'Aggregate As% of GSDP'!M15*100</f>
        <v>12.674167553595863</v>
      </c>
      <c r="H15" s="251">
        <f t="shared" si="0"/>
        <v>9.7700713476922463</v>
      </c>
      <c r="I15" s="173">
        <f ca="1">'Central Assistance'!C15/'Aggregate As% of GSDP'!D15*100</f>
        <v>90.265826803228023</v>
      </c>
      <c r="J15" s="173">
        <f ca="1">'Central Assistance'!D15/'Aggregate As% of GSDP'!E15*100</f>
        <v>65.490105637367961</v>
      </c>
      <c r="K15" s="173">
        <f ca="1">'Central Assistance'!E15/'Aggregate As% of GSDP'!F15*100</f>
        <v>77.35335238662077</v>
      </c>
      <c r="L15" s="173">
        <f ca="1">'Central Assistance'!F15/'Aggregate As% of GSDP'!G15*100</f>
        <v>88.384248043360316</v>
      </c>
      <c r="M15" s="173">
        <f ca="1">'Central Assistance'!G15/'Aggregate As% of GSDP'!H15*100</f>
        <v>126.85997788216672</v>
      </c>
      <c r="N15" s="255">
        <f t="shared" si="1"/>
        <v>89.670702150548749</v>
      </c>
    </row>
    <row r="16" spans="1:14">
      <c r="A16" s="195">
        <v>11</v>
      </c>
      <c r="B16" s="196" t="s">
        <v>24</v>
      </c>
      <c r="C16" s="173">
        <f ca="1">'Central Assistance'!C16/'Aggregate As% of GSDP'!I16*100</f>
        <v>4.4199668527564553</v>
      </c>
      <c r="D16" s="173">
        <f ca="1">'Central Assistance'!D16/'Aggregate As% of GSDP'!J16*100</f>
        <v>3.386111557340473</v>
      </c>
      <c r="E16" s="173">
        <f ca="1">'Central Assistance'!E16/'Aggregate As% of GSDP'!K16*100</f>
        <v>3.6585138663467647</v>
      </c>
      <c r="F16" s="173">
        <f ca="1">'Central Assistance'!F16/'Aggregate As% of GSDP'!L16*100</f>
        <v>4.1090275284986664</v>
      </c>
      <c r="G16" s="173">
        <f ca="1">'Central Assistance'!G16/'Aggregate As% of GSDP'!M16*100</f>
        <v>3.8852743143454376</v>
      </c>
      <c r="H16" s="251">
        <f t="shared" si="0"/>
        <v>3.8917788238575595</v>
      </c>
      <c r="I16" s="173">
        <f ca="1">'Central Assistance'!C16/'Aggregate As% of GSDP'!D16*100</f>
        <v>42.061464663868243</v>
      </c>
      <c r="J16" s="173">
        <f ca="1">'Central Assistance'!D16/'Aggregate As% of GSDP'!E16*100</f>
        <v>46.332231251785863</v>
      </c>
      <c r="K16" s="173">
        <f ca="1">'Central Assistance'!E16/'Aggregate As% of GSDP'!F16*100</f>
        <v>54.639869753308631</v>
      </c>
      <c r="L16" s="173">
        <f ca="1">'Central Assistance'!F16/'Aggregate As% of GSDP'!G16*100</f>
        <v>52.877422190475045</v>
      </c>
      <c r="M16" s="173">
        <f ca="1">'Central Assistance'!G16/'Aggregate As% of GSDP'!H16*100</f>
        <v>47.420722478800542</v>
      </c>
      <c r="N16" s="255">
        <f t="shared" si="1"/>
        <v>48.666342067647669</v>
      </c>
    </row>
    <row r="17" spans="1:14">
      <c r="A17" s="193"/>
      <c r="B17" s="194" t="s">
        <v>143</v>
      </c>
      <c r="C17" s="182">
        <f ca="1">'Central Assistance'!C17/'Aggregate As% of GSDP'!I17*100</f>
        <v>7.2528448173372535</v>
      </c>
      <c r="D17" s="182">
        <f ca="1">'Central Assistance'!D17/'Aggregate As% of GSDP'!J17*100</f>
        <v>6.9406866486985157</v>
      </c>
      <c r="E17" s="182">
        <f ca="1">'Central Assistance'!E17/'Aggregate As% of GSDP'!K17*100</f>
        <v>7.8955416120103594</v>
      </c>
      <c r="F17" s="182">
        <f ca="1">'Central Assistance'!F17/'Aggregate As% of GSDP'!L17*100</f>
        <v>7.6943272822261184</v>
      </c>
      <c r="G17" s="182">
        <f ca="1">'Central Assistance'!G17/'Aggregate As% of GSDP'!M17*100</f>
        <v>8.6288755576617344</v>
      </c>
      <c r="H17" s="251">
        <f t="shared" si="0"/>
        <v>7.6824551835867965</v>
      </c>
      <c r="I17" s="182">
        <f ca="1">'Central Assistance'!C17/'Aggregate As% of GSDP'!D17*100</f>
        <v>71.996414034280861</v>
      </c>
      <c r="J17" s="182">
        <f ca="1">'Central Assistance'!D17/'Aggregate As% of GSDP'!E17*100</f>
        <v>69.178168174405968</v>
      </c>
      <c r="K17" s="182">
        <f ca="1">'Central Assistance'!E17/'Aggregate As% of GSDP'!F17*100</f>
        <v>85.099542207195583</v>
      </c>
      <c r="L17" s="182">
        <f ca="1">'Central Assistance'!F17/'Aggregate As% of GSDP'!G17*100</f>
        <v>84.282454612613805</v>
      </c>
      <c r="M17" s="182">
        <f ca="1">'Central Assistance'!G17/'Aggregate As% of GSDP'!H17*100</f>
        <v>92.452223291260808</v>
      </c>
      <c r="N17" s="255">
        <f t="shared" si="1"/>
        <v>80.601760463951408</v>
      </c>
    </row>
    <row r="18" spans="1:14">
      <c r="A18" s="193" t="s">
        <v>140</v>
      </c>
      <c r="B18" s="194" t="s">
        <v>275</v>
      </c>
      <c r="C18" s="190"/>
      <c r="D18" s="190"/>
      <c r="E18" s="190"/>
      <c r="F18" s="190"/>
      <c r="G18" s="190"/>
      <c r="H18" s="264"/>
      <c r="I18" s="190"/>
      <c r="J18" s="190"/>
      <c r="K18" s="190"/>
      <c r="L18" s="190"/>
      <c r="M18" s="190"/>
      <c r="N18" s="269"/>
    </row>
    <row r="19" spans="1:14">
      <c r="A19" s="195">
        <v>1</v>
      </c>
      <c r="B19" s="196" t="s">
        <v>27</v>
      </c>
      <c r="C19" s="173">
        <f ca="1">'Central Assistance'!C19/'Aggregate As% of GSDP'!I19*100</f>
        <v>1.0395517703590607</v>
      </c>
      <c r="D19" s="173">
        <f ca="1">'Central Assistance'!D19/'Aggregate As% of GSDP'!J19*100</f>
        <v>0.94652560542687425</v>
      </c>
      <c r="E19" s="173">
        <f ca="1">'Central Assistance'!E19/'Aggregate As% of GSDP'!K19*100</f>
        <v>0.8675131675268295</v>
      </c>
      <c r="F19" s="173">
        <f ca="1">'Central Assistance'!F19/'Aggregate As% of GSDP'!L19*100</f>
        <v>0.56346323962625844</v>
      </c>
      <c r="G19" s="173">
        <f ca="1">'Central Assistance'!G19/'Aggregate As% of GSDP'!M19*100</f>
        <v>0.86199278482623509</v>
      </c>
      <c r="H19" s="251">
        <f ca="1">+AVERAGE(C19:G19)</f>
        <v>0.85580931355305156</v>
      </c>
      <c r="I19" s="173">
        <f ca="1">'Central Assistance'!C19/'Aggregate As% of GSDP'!D19*100</f>
        <v>13.953935037497049</v>
      </c>
      <c r="J19" s="173">
        <f ca="1">'Central Assistance'!D19/'Aggregate As% of GSDP'!E19*100</f>
        <v>13.187902405134333</v>
      </c>
      <c r="K19" s="173">
        <f ca="1">'Central Assistance'!E19/'Aggregate As% of GSDP'!F19*100</f>
        <v>14.468096683415377</v>
      </c>
      <c r="L19" s="173">
        <f ca="1">'Central Assistance'!F19/'Aggregate As% of GSDP'!G19*100</f>
        <v>10.504223890740043</v>
      </c>
      <c r="M19" s="173">
        <f ca="1">'Central Assistance'!G19/'Aggregate As% of GSDP'!H19*100</f>
        <v>14.501144094124395</v>
      </c>
      <c r="N19" s="255">
        <f>+AVERAGE(I19:M19)</f>
        <v>13.323060422182241</v>
      </c>
    </row>
    <row r="20" spans="1:14">
      <c r="A20" s="195">
        <v>2</v>
      </c>
      <c r="B20" s="196" t="s">
        <v>28</v>
      </c>
      <c r="C20" s="173">
        <f ca="1">'Central Assistance'!C20/'Aggregate As% of GSDP'!I20*100</f>
        <v>2.5155964109781843</v>
      </c>
      <c r="D20" s="173">
        <f ca="1">'Central Assistance'!D20/'Aggregate As% of GSDP'!J20*100</f>
        <v>2.5303031367946081</v>
      </c>
      <c r="E20" s="173">
        <f ca="1">'Central Assistance'!E20/'Aggregate As% of GSDP'!K20*100</f>
        <v>2.2716544566544568</v>
      </c>
      <c r="F20" s="173">
        <f ca="1">'Central Assistance'!F20/'Aggregate As% of GSDP'!L20*100</f>
        <v>2.6243857006975273</v>
      </c>
      <c r="G20" s="173">
        <f ca="1">'Central Assistance'!G20/'Aggregate As% of GSDP'!M20*100</f>
        <v>2.8173719993351645</v>
      </c>
      <c r="H20" s="251">
        <f t="shared" ref="H20:H36" si="2">+AVERAGE(C20:G20)</f>
        <v>2.5518623408919878</v>
      </c>
      <c r="I20" s="173">
        <f ca="1">'Central Assistance'!C20/'Aggregate As% of GSDP'!D20*100</f>
        <v>27.402076238623714</v>
      </c>
      <c r="J20" s="173">
        <f ca="1">'Central Assistance'!D20/'Aggregate As% of GSDP'!E20*100</f>
        <v>26.291750804251855</v>
      </c>
      <c r="K20" s="173">
        <f ca="1">'Central Assistance'!E20/'Aggregate As% of GSDP'!F20*100</f>
        <v>22.707519783041054</v>
      </c>
      <c r="L20" s="173">
        <f ca="1">'Central Assistance'!F20/'Aggregate As% of GSDP'!G20*100</f>
        <v>27.430927911922453</v>
      </c>
      <c r="M20" s="173">
        <f ca="1">'Central Assistance'!G20/'Aggregate As% of GSDP'!H20*100</f>
        <v>32.109673779263517</v>
      </c>
      <c r="N20" s="255">
        <f t="shared" ref="N20:N36" si="3">+AVERAGE(I20:M20)</f>
        <v>27.188389703420519</v>
      </c>
    </row>
    <row r="21" spans="1:14">
      <c r="A21" s="195">
        <v>3</v>
      </c>
      <c r="B21" s="196" t="s">
        <v>29</v>
      </c>
      <c r="C21" s="173">
        <f ca="1">'Central Assistance'!C21/'Aggregate As% of GSDP'!I21*100</f>
        <v>0.78112267148464265</v>
      </c>
      <c r="D21" s="173">
        <f ca="1">'Central Assistance'!D21/'Aggregate As% of GSDP'!J21*100</f>
        <v>0.7977354287835664</v>
      </c>
      <c r="E21" s="173">
        <f ca="1">'Central Assistance'!E21/'Aggregate As% of GSDP'!K21*100</f>
        <v>1.4063186315004736</v>
      </c>
      <c r="F21" s="173">
        <f ca="1">'Central Assistance'!F21/'Aggregate As% of GSDP'!L21*100</f>
        <v>1.7929861270594638</v>
      </c>
      <c r="G21" s="173">
        <f ca="1">'Central Assistance'!G21/'Aggregate As% of GSDP'!M21*100</f>
        <v>1.7357012159131153</v>
      </c>
      <c r="H21" s="251">
        <f t="shared" si="2"/>
        <v>1.3027728149482525</v>
      </c>
      <c r="I21" s="173">
        <f ca="1">'Central Assistance'!C21/'Aggregate As% of GSDP'!D21*100</f>
        <v>10.364901954300446</v>
      </c>
      <c r="J21" s="173">
        <f ca="1">'Central Assistance'!D21/'Aggregate As% of GSDP'!E21*100</f>
        <v>11.803767965124885</v>
      </c>
      <c r="K21" s="173">
        <f ca="1">'Central Assistance'!E21/'Aggregate As% of GSDP'!F21*100</f>
        <v>14.702199210723377</v>
      </c>
      <c r="L21" s="173">
        <f ca="1">'Central Assistance'!F21/'Aggregate As% of GSDP'!G21*100</f>
        <v>18.598274068590818</v>
      </c>
      <c r="M21" s="173">
        <f ca="1">'Central Assistance'!G21/'Aggregate As% of GSDP'!H21*100</f>
        <v>15.013730942453854</v>
      </c>
      <c r="N21" s="255">
        <f t="shared" si="3"/>
        <v>14.096574828238676</v>
      </c>
    </row>
    <row r="22" spans="1:14">
      <c r="A22" s="195">
        <v>4</v>
      </c>
      <c r="B22" s="196" t="s">
        <v>30</v>
      </c>
      <c r="C22" s="173">
        <f ca="1">'Central Assistance'!C22/'Aggregate As% of GSDP'!I22*100</f>
        <v>0.42269358548428315</v>
      </c>
      <c r="D22" s="173">
        <f ca="1">'Central Assistance'!D22/'Aggregate As% of GSDP'!J22*100</f>
        <v>0.79790666561737633</v>
      </c>
      <c r="E22" s="173">
        <f ca="1">'Central Assistance'!E22/'Aggregate As% of GSDP'!K22*100</f>
        <v>0.3027535535260592</v>
      </c>
      <c r="F22" s="173">
        <f ca="1">'Central Assistance'!F22/'Aggregate As% of GSDP'!L22*100</f>
        <v>1.354482080889353</v>
      </c>
      <c r="G22" s="173">
        <f ca="1">'Central Assistance'!G22/'Aggregate As% of GSDP'!M22*100</f>
        <v>0.6252136752136751</v>
      </c>
      <c r="H22" s="251">
        <f t="shared" si="2"/>
        <v>0.70060991214614943</v>
      </c>
      <c r="I22" s="173">
        <f ca="1">'Central Assistance'!C22/'Aggregate As% of GSDP'!D22*100</f>
        <v>6.5371359913997686</v>
      </c>
      <c r="J22" s="173">
        <f ca="1">'Central Assistance'!D22/'Aggregate As% of GSDP'!E22*100</f>
        <v>12.487685284367684</v>
      </c>
      <c r="K22" s="173">
        <f ca="1">'Central Assistance'!E22/'Aggregate As% of GSDP'!F22*100</f>
        <v>3.955483983833564</v>
      </c>
      <c r="L22" s="173">
        <f ca="1">'Central Assistance'!F22/'Aggregate As% of GSDP'!G22*100</f>
        <v>18.054770968930374</v>
      </c>
      <c r="M22" s="173">
        <f ca="1">'Central Assistance'!G22/'Aggregate As% of GSDP'!H22*100</f>
        <v>8.4488619537658174</v>
      </c>
      <c r="N22" s="255">
        <f t="shared" si="3"/>
        <v>9.8967876364594414</v>
      </c>
    </row>
    <row r="23" spans="1:14">
      <c r="A23" s="195">
        <v>5</v>
      </c>
      <c r="B23" s="196" t="s">
        <v>31</v>
      </c>
      <c r="C23" s="173">
        <f ca="1">'Central Assistance'!C23/'Aggregate As% of GSDP'!I23*100</f>
        <v>0.67908650561064132</v>
      </c>
      <c r="D23" s="173">
        <f ca="1">'Central Assistance'!D23/'Aggregate As% of GSDP'!J23*100</f>
        <v>0.5361118963230338</v>
      </c>
      <c r="E23" s="173">
        <f ca="1">'Central Assistance'!E23/'Aggregate As% of GSDP'!K23*100</f>
        <v>0.40323467156272291</v>
      </c>
      <c r="F23" s="173">
        <f ca="1">'Central Assistance'!F23/'Aggregate As% of GSDP'!L23*100</f>
        <v>0.39564630251396704</v>
      </c>
      <c r="G23" s="173">
        <f ca="1">'Central Assistance'!G23/'Aggregate As% of GSDP'!M23*100</f>
        <v>0.76258039179002246</v>
      </c>
      <c r="H23" s="251">
        <f t="shared" si="2"/>
        <v>0.55533195356007758</v>
      </c>
      <c r="I23" s="173">
        <f ca="1">'Central Assistance'!C23/'Aggregate As% of GSDP'!D23*100</f>
        <v>14.184034120894729</v>
      </c>
      <c r="J23" s="173">
        <f ca="1">'Central Assistance'!D23/'Aggregate As% of GSDP'!E23*100</f>
        <v>8.9897278223876782</v>
      </c>
      <c r="K23" s="173">
        <f ca="1">'Central Assistance'!E23/'Aggregate As% of GSDP'!F23*100</f>
        <v>7.6345630202943342</v>
      </c>
      <c r="L23" s="173">
        <f ca="1">'Central Assistance'!F23/'Aggregate As% of GSDP'!G23*100</f>
        <v>7.3687954459258149</v>
      </c>
      <c r="M23" s="173">
        <f ca="1">'Central Assistance'!G23/'Aggregate As% of GSDP'!H23*100</f>
        <v>11.177676066292038</v>
      </c>
      <c r="N23" s="255">
        <f t="shared" si="3"/>
        <v>9.8709592951589187</v>
      </c>
    </row>
    <row r="24" spans="1:14">
      <c r="A24" s="195">
        <v>6</v>
      </c>
      <c r="B24" s="196" t="s">
        <v>32</v>
      </c>
      <c r="C24" s="173">
        <f ca="1">'Central Assistance'!C24/'Aggregate As% of GSDP'!I24*100</f>
        <v>0.25807260229693985</v>
      </c>
      <c r="D24" s="173">
        <f ca="1">'Central Assistance'!D24/'Aggregate As% of GSDP'!J24*100</f>
        <v>0.29609109989533161</v>
      </c>
      <c r="E24" s="173">
        <f ca="1">'Central Assistance'!E24/'Aggregate As% of GSDP'!K24*100</f>
        <v>0.38578144359409039</v>
      </c>
      <c r="F24" s="173">
        <f ca="1">'Central Assistance'!F24/'Aggregate As% of GSDP'!L24*100</f>
        <v>0.25695236291315471</v>
      </c>
      <c r="G24" s="173">
        <f ca="1">'Central Assistance'!G24/'Aggregate As% of GSDP'!M24*100</f>
        <v>0.33735996607788493</v>
      </c>
      <c r="H24" s="251">
        <f t="shared" si="2"/>
        <v>0.30685149495548031</v>
      </c>
      <c r="I24" s="173">
        <f ca="1">'Central Assistance'!C24/'Aggregate As% of GSDP'!D24*100</f>
        <v>3.6529842384402782</v>
      </c>
      <c r="J24" s="173">
        <f ca="1">'Central Assistance'!D24/'Aggregate As% of GSDP'!E24*100</f>
        <v>3.9014341097305874</v>
      </c>
      <c r="K24" s="173">
        <f ca="1">'Central Assistance'!E24/'Aggregate As% of GSDP'!F24*100</f>
        <v>4.5580010495536234</v>
      </c>
      <c r="L24" s="173">
        <f ca="1">'Central Assistance'!F24/'Aggregate As% of GSDP'!G24*100</f>
        <v>4.3142976902933547</v>
      </c>
      <c r="M24" s="173">
        <f ca="1">'Central Assistance'!G24/'Aggregate As% of GSDP'!H24*100</f>
        <v>5.1779480272626595</v>
      </c>
      <c r="N24" s="255">
        <f t="shared" si="3"/>
        <v>4.3209330230561012</v>
      </c>
    </row>
    <row r="25" spans="1:14">
      <c r="A25" s="195">
        <v>7</v>
      </c>
      <c r="B25" s="196" t="s">
        <v>33</v>
      </c>
      <c r="C25" s="173">
        <f ca="1">'Central Assistance'!C25/'Aggregate As% of GSDP'!I25*100</f>
        <v>1.4641572364502682</v>
      </c>
      <c r="D25" s="173">
        <f ca="1">'Central Assistance'!D25/'Aggregate As% of GSDP'!J25*100</f>
        <v>1.7357222589243004</v>
      </c>
      <c r="E25" s="173">
        <f ca="1">'Central Assistance'!E25/'Aggregate As% of GSDP'!K25*100</f>
        <v>1.6609852814024904</v>
      </c>
      <c r="F25" s="173">
        <f ca="1">'Central Assistance'!F25/'Aggregate As% of GSDP'!L25*100</f>
        <v>2.4458822001990739</v>
      </c>
      <c r="G25" s="173">
        <f ca="1">'Central Assistance'!G25/'Aggregate As% of GSDP'!M25*100</f>
        <v>2.6675223171525997</v>
      </c>
      <c r="H25" s="251">
        <f t="shared" si="2"/>
        <v>1.9948538588257463</v>
      </c>
      <c r="I25" s="173">
        <f ca="1">'Central Assistance'!C25/'Aggregate As% of GSDP'!D25*100</f>
        <v>22.250099107758643</v>
      </c>
      <c r="J25" s="173">
        <f ca="1">'Central Assistance'!D25/'Aggregate As% of GSDP'!E25*100</f>
        <v>22.85494028523307</v>
      </c>
      <c r="K25" s="173">
        <f ca="1">'Central Assistance'!E25/'Aggregate As% of GSDP'!F25*100</f>
        <v>24.772514707429984</v>
      </c>
      <c r="L25" s="173">
        <f ca="1">'Central Assistance'!F25/'Aggregate As% of GSDP'!G25*100</f>
        <v>33.146143862533741</v>
      </c>
      <c r="M25" s="173">
        <f ca="1">'Central Assistance'!G25/'Aggregate As% of GSDP'!H25*100</f>
        <v>22.753267973856204</v>
      </c>
      <c r="N25" s="255">
        <f t="shared" si="3"/>
        <v>25.155393187362325</v>
      </c>
    </row>
    <row r="26" spans="1:14">
      <c r="A26" s="195">
        <v>8</v>
      </c>
      <c r="B26" s="196" t="s">
        <v>34</v>
      </c>
      <c r="C26" s="173">
        <f ca="1">'Central Assistance'!C26/'Aggregate As% of GSDP'!I26*100</f>
        <v>0.70807302986745702</v>
      </c>
      <c r="D26" s="173">
        <f ca="1">'Central Assistance'!D26/'Aggregate As% of GSDP'!J26*100</f>
        <v>0.65107778622805434</v>
      </c>
      <c r="E26" s="173">
        <f ca="1">'Central Assistance'!E26/'Aggregate As% of GSDP'!K26*100</f>
        <v>0.88078242216665292</v>
      </c>
      <c r="F26" s="173">
        <f ca="1">'Central Assistance'!F26/'Aggregate As% of GSDP'!L26*100</f>
        <v>1.0873557833162639</v>
      </c>
      <c r="G26" s="173">
        <f ca="1">'Central Assistance'!G26/'Aggregate As% of GSDP'!M26*100</f>
        <v>1.0714442921488856</v>
      </c>
      <c r="H26" s="251">
        <f t="shared" si="2"/>
        <v>0.87974666274546287</v>
      </c>
      <c r="I26" s="173">
        <f ca="1">'Central Assistance'!C26/'Aggregate As% of GSDP'!D26*100</f>
        <v>11.219865695420541</v>
      </c>
      <c r="J26" s="173">
        <f ca="1">'Central Assistance'!D26/'Aggregate As% of GSDP'!E26*100</f>
        <v>8.7745457403960323</v>
      </c>
      <c r="K26" s="173">
        <f ca="1">'Central Assistance'!E26/'Aggregate As% of GSDP'!F26*100</f>
        <v>11.028181747822705</v>
      </c>
      <c r="L26" s="173">
        <f ca="1">'Central Assistance'!F26/'Aggregate As% of GSDP'!G26*100</f>
        <v>13.938058326485278</v>
      </c>
      <c r="M26" s="173">
        <f ca="1">'Central Assistance'!G26/'Aggregate As% of GSDP'!H26*100</f>
        <v>13.072203198603177</v>
      </c>
      <c r="N26" s="255">
        <f t="shared" si="3"/>
        <v>11.606570941745547</v>
      </c>
    </row>
    <row r="27" spans="1:14">
      <c r="A27" s="195">
        <v>9</v>
      </c>
      <c r="B27" s="196" t="s">
        <v>35</v>
      </c>
      <c r="C27" s="173">
        <f ca="1">'Central Assistance'!C27/'Aggregate As% of GSDP'!I27*100</f>
        <v>0.48954842098651952</v>
      </c>
      <c r="D27" s="173">
        <f ca="1">'Central Assistance'!D27/'Aggregate As% of GSDP'!J27*100</f>
        <v>0.63519624426110666</v>
      </c>
      <c r="E27" s="173">
        <f ca="1">'Central Assistance'!E27/'Aggregate As% of GSDP'!K27*100</f>
        <v>0.32921796532418746</v>
      </c>
      <c r="F27" s="173">
        <f ca="1">'Central Assistance'!F27/'Aggregate As% of GSDP'!L27*100</f>
        <v>0.27079354650050358</v>
      </c>
      <c r="G27" s="173">
        <f ca="1">'Central Assistance'!G27/'Aggregate As% of GSDP'!M27*100</f>
        <v>0.38004487393363184</v>
      </c>
      <c r="H27" s="251">
        <f t="shared" si="2"/>
        <v>0.42096021020118979</v>
      </c>
      <c r="I27" s="173">
        <f ca="1">'Central Assistance'!C27/'Aggregate As% of GSDP'!D27*100</f>
        <v>14.743586436725858</v>
      </c>
      <c r="J27" s="173">
        <f ca="1">'Central Assistance'!D27/'Aggregate As% of GSDP'!E27*100</f>
        <v>19.25515115729694</v>
      </c>
      <c r="K27" s="173">
        <f ca="1">'Central Assistance'!E27/'Aggregate As% of GSDP'!F27*100</f>
        <v>8.9574327583703663</v>
      </c>
      <c r="L27" s="173">
        <f ca="1">'Central Assistance'!F27/'Aggregate As% of GSDP'!G27*100</f>
        <v>8.1158808731640022</v>
      </c>
      <c r="M27" s="173">
        <f ca="1">'Central Assistance'!G27/'Aggregate As% of GSDP'!H27*100</f>
        <v>12.757141187008417</v>
      </c>
      <c r="N27" s="255">
        <f t="shared" si="3"/>
        <v>12.765838482513116</v>
      </c>
    </row>
    <row r="28" spans="1:14">
      <c r="A28" s="195">
        <v>10</v>
      </c>
      <c r="B28" s="196" t="s">
        <v>36</v>
      </c>
      <c r="C28" s="173">
        <f ca="1">'Central Assistance'!C28/'Aggregate As% of GSDP'!I28*100</f>
        <v>1.617535407080797</v>
      </c>
      <c r="D28" s="173">
        <f ca="1">'Central Assistance'!D28/'Aggregate As% of GSDP'!J28*100</f>
        <v>1.4313854701028002</v>
      </c>
      <c r="E28" s="173">
        <f ca="1">'Central Assistance'!E28/'Aggregate As% of GSDP'!K28*100</f>
        <v>1.360814794020633</v>
      </c>
      <c r="F28" s="173">
        <f ca="1">'Central Assistance'!F28/'Aggregate As% of GSDP'!L28*100</f>
        <v>1.7361205516065483</v>
      </c>
      <c r="G28" s="173">
        <f ca="1">'Central Assistance'!G28/'Aggregate As% of GSDP'!M28*100</f>
        <v>1.6673230031675372</v>
      </c>
      <c r="H28" s="251">
        <f t="shared" si="2"/>
        <v>1.5626358451956632</v>
      </c>
      <c r="I28" s="173">
        <f ca="1">'Central Assistance'!C28/'Aggregate As% of GSDP'!D28*100</f>
        <v>24.216997829539586</v>
      </c>
      <c r="J28" s="173">
        <f ca="1">'Central Assistance'!D28/'Aggregate As% of GSDP'!E28*100</f>
        <v>23.632291724203728</v>
      </c>
      <c r="K28" s="173">
        <f ca="1">'Central Assistance'!E28/'Aggregate As% of GSDP'!F28*100</f>
        <v>21.306737798094066</v>
      </c>
      <c r="L28" s="173">
        <f ca="1">'Central Assistance'!F28/'Aggregate As% of GSDP'!G28*100</f>
        <v>23.804010273680483</v>
      </c>
      <c r="M28" s="173">
        <f ca="1">'Central Assistance'!G28/'Aggregate As% of GSDP'!H28*100</f>
        <v>18.536625603182713</v>
      </c>
      <c r="N28" s="255">
        <f t="shared" si="3"/>
        <v>22.299332645740115</v>
      </c>
    </row>
    <row r="29" spans="1:14">
      <c r="A29" s="195">
        <v>11</v>
      </c>
      <c r="B29" s="196" t="s">
        <v>37</v>
      </c>
      <c r="C29" s="173">
        <f ca="1">'Central Assistance'!C29/'Aggregate As% of GSDP'!I29*100</f>
        <v>0.55664767806964321</v>
      </c>
      <c r="D29" s="173">
        <f ca="1">'Central Assistance'!D29/'Aggregate As% of GSDP'!J29*100</f>
        <v>0.88359904486642149</v>
      </c>
      <c r="E29" s="173">
        <f ca="1">'Central Assistance'!E29/'Aggregate As% of GSDP'!K29*100</f>
        <v>0.59868083831670971</v>
      </c>
      <c r="F29" s="173">
        <f ca="1">'Central Assistance'!F29/'Aggregate As% of GSDP'!L29*100</f>
        <v>0.71797875140464296</v>
      </c>
      <c r="G29" s="173">
        <f ca="1">'Central Assistance'!G29/'Aggregate As% of GSDP'!M29*100</f>
        <v>0.63521200506311093</v>
      </c>
      <c r="H29" s="251">
        <f t="shared" si="2"/>
        <v>0.67842366354410566</v>
      </c>
      <c r="I29" s="173">
        <f ca="1">'Central Assistance'!C29/'Aggregate As% of GSDP'!D29*100</f>
        <v>20.254565993490107</v>
      </c>
      <c r="J29" s="173">
        <f ca="1">'Central Assistance'!D29/'Aggregate As% of GSDP'!E29*100</f>
        <v>28.691627344061608</v>
      </c>
      <c r="K29" s="173">
        <f ca="1">'Central Assistance'!E29/'Aggregate As% of GSDP'!F29*100</f>
        <v>18.03032960937723</v>
      </c>
      <c r="L29" s="173">
        <f ca="1">'Central Assistance'!F29/'Aggregate As% of GSDP'!G29*100</f>
        <v>22.362719986980089</v>
      </c>
      <c r="M29" s="173">
        <f ca="1">'Central Assistance'!G29/'Aggregate As% of GSDP'!H29*100</f>
        <v>17.851000000000003</v>
      </c>
      <c r="N29" s="255">
        <f t="shared" si="3"/>
        <v>21.438048586781811</v>
      </c>
    </row>
    <row r="30" spans="1:14">
      <c r="A30" s="195">
        <v>12</v>
      </c>
      <c r="B30" s="196" t="s">
        <v>38</v>
      </c>
      <c r="C30" s="173">
        <f ca="1">'Central Assistance'!C30/'Aggregate As% of GSDP'!I30*100</f>
        <v>1.6729891548184475</v>
      </c>
      <c r="D30" s="173">
        <f ca="1">'Central Assistance'!D30/'Aggregate As% of GSDP'!J30*100</f>
        <v>1.8524759076307658</v>
      </c>
      <c r="E30" s="173">
        <f ca="1">'Central Assistance'!E30/'Aggregate As% of GSDP'!K30*100</f>
        <v>1.6959594935471858</v>
      </c>
      <c r="F30" s="173">
        <f ca="1">'Central Assistance'!F30/'Aggregate As% of GSDP'!L30*100</f>
        <v>1.67997928502574</v>
      </c>
      <c r="G30" s="173">
        <f ca="1">'Central Assistance'!G30/'Aggregate As% of GSDP'!M30*100</f>
        <v>1.9207066956629362</v>
      </c>
      <c r="H30" s="251">
        <f t="shared" si="2"/>
        <v>1.764422107337015</v>
      </c>
      <c r="I30" s="173">
        <f ca="1">'Central Assistance'!C30/'Aggregate As% of GSDP'!D30*100</f>
        <v>36.344967473813519</v>
      </c>
      <c r="J30" s="173">
        <f ca="1">'Central Assistance'!D30/'Aggregate As% of GSDP'!E30*100</f>
        <v>35.268233767632452</v>
      </c>
      <c r="K30" s="173">
        <f ca="1">'Central Assistance'!E30/'Aggregate As% of GSDP'!F30*100</f>
        <v>29.526161829366202</v>
      </c>
      <c r="L30" s="173">
        <f ca="1">'Central Assistance'!F30/'Aggregate As% of GSDP'!G30*100</f>
        <v>29.155180238300755</v>
      </c>
      <c r="M30" s="173">
        <f ca="1">'Central Assistance'!G30/'Aggregate As% of GSDP'!H30*100</f>
        <v>28.58769736842105</v>
      </c>
      <c r="N30" s="255">
        <f t="shared" si="3"/>
        <v>31.776448135506797</v>
      </c>
    </row>
    <row r="31" spans="1:14">
      <c r="A31" s="195">
        <v>13</v>
      </c>
      <c r="B31" s="196" t="s">
        <v>39</v>
      </c>
      <c r="C31" s="173">
        <f ca="1">'Central Assistance'!C31/'Aggregate As% of GSDP'!I31*100</f>
        <v>0.40570790502151133</v>
      </c>
      <c r="D31" s="173">
        <f ca="1">'Central Assistance'!D31/'Aggregate As% of GSDP'!J31*100</f>
        <v>0.36167180919219261</v>
      </c>
      <c r="E31" s="173">
        <f ca="1">'Central Assistance'!E31/'Aggregate As% of GSDP'!K31*100</f>
        <v>0.64480601634130241</v>
      </c>
      <c r="F31" s="173">
        <f ca="1">'Central Assistance'!F31/'Aggregate As% of GSDP'!L31*100</f>
        <v>0.42433603733748199</v>
      </c>
      <c r="G31" s="173">
        <f ca="1">'Central Assistance'!G31/'Aggregate As% of GSDP'!M31*100</f>
        <v>0.60397259777447532</v>
      </c>
      <c r="H31" s="251">
        <f t="shared" si="2"/>
        <v>0.48809887313339273</v>
      </c>
      <c r="I31" s="173">
        <f ca="1">'Central Assistance'!C31/'Aggregate As% of GSDP'!D31*100</f>
        <v>12.112102690205726</v>
      </c>
      <c r="J31" s="173">
        <f ca="1">'Central Assistance'!D31/'Aggregate As% of GSDP'!E31*100</f>
        <v>9.5026955378318831</v>
      </c>
      <c r="K31" s="173">
        <f ca="1">'Central Assistance'!E31/'Aggregate As% of GSDP'!F31*100</f>
        <v>27.226137091607928</v>
      </c>
      <c r="L31" s="173">
        <f ca="1">'Central Assistance'!F31/'Aggregate As% of GSDP'!G31*100</f>
        <v>12.510139549024316</v>
      </c>
      <c r="M31" s="173">
        <f ca="1">'Central Assistance'!G31/'Aggregate As% of GSDP'!H31*100</f>
        <v>21.287012065294533</v>
      </c>
      <c r="N31" s="255">
        <f t="shared" si="3"/>
        <v>16.527617386792876</v>
      </c>
    </row>
    <row r="32" spans="1:14">
      <c r="A32" s="195">
        <v>14</v>
      </c>
      <c r="B32" s="196" t="s">
        <v>40</v>
      </c>
      <c r="C32" s="173">
        <f ca="1">'Central Assistance'!C32/'Aggregate As% of GSDP'!I32*100</f>
        <v>0.90780815308332752</v>
      </c>
      <c r="D32" s="173">
        <f ca="1">'Central Assistance'!D32/'Aggregate As% of GSDP'!J32*100</f>
        <v>0.89960554061719256</v>
      </c>
      <c r="E32" s="173">
        <f ca="1">'Central Assistance'!E32/'Aggregate As% of GSDP'!K32*100</f>
        <v>0.61000615365914801</v>
      </c>
      <c r="F32" s="173">
        <f ca="1">'Central Assistance'!F32/'Aggregate As% of GSDP'!L32*100</f>
        <v>0.76866183476374961</v>
      </c>
      <c r="G32" s="173">
        <f ca="1">'Central Assistance'!G32/'Aggregate As% of GSDP'!M32*100</f>
        <v>0.78888466550825365</v>
      </c>
      <c r="H32" s="251">
        <f t="shared" si="2"/>
        <v>0.7949932695263342</v>
      </c>
      <c r="I32" s="173">
        <f ca="1">'Central Assistance'!C32/'Aggregate As% of GSDP'!D32*100</f>
        <v>13.996430874910468</v>
      </c>
      <c r="J32" s="173">
        <f ca="1">'Central Assistance'!D32/'Aggregate As% of GSDP'!E32*100</f>
        <v>14.27336787123377</v>
      </c>
      <c r="K32" s="173">
        <f ca="1">'Central Assistance'!E32/'Aggregate As% of GSDP'!F32*100</f>
        <v>8.9408189705328045</v>
      </c>
      <c r="L32" s="173">
        <f ca="1">'Central Assistance'!F32/'Aggregate As% of GSDP'!G32*100</f>
        <v>11.477769381727798</v>
      </c>
      <c r="M32" s="173">
        <f ca="1">'Central Assistance'!G32/'Aggregate As% of GSDP'!H32*100</f>
        <v>10.415707765699809</v>
      </c>
      <c r="N32" s="255">
        <f t="shared" si="3"/>
        <v>11.820818972820929</v>
      </c>
    </row>
    <row r="33" spans="1:14">
      <c r="A33" s="195">
        <v>15</v>
      </c>
      <c r="B33" s="196" t="s">
        <v>41</v>
      </c>
      <c r="C33" s="173">
        <f ca="1">'Central Assistance'!C33/'Aggregate As% of GSDP'!I33*100</f>
        <v>0.61735253791841371</v>
      </c>
      <c r="D33" s="173">
        <f ca="1">'Central Assistance'!D33/'Aggregate As% of GSDP'!J33*100</f>
        <v>0.84161151753144503</v>
      </c>
      <c r="E33" s="173">
        <f ca="1">'Central Assistance'!E33/'Aggregate As% of GSDP'!K33*100</f>
        <v>0.46970107562744934</v>
      </c>
      <c r="F33" s="173">
        <f ca="1">'Central Assistance'!F33/'Aggregate As% of GSDP'!L33*100</f>
        <v>0.37814562287481773</v>
      </c>
      <c r="G33" s="173">
        <f ca="1">'Central Assistance'!G33/'Aggregate As% of GSDP'!M33*100</f>
        <v>0.45264739251203001</v>
      </c>
      <c r="H33" s="251">
        <f t="shared" si="2"/>
        <v>0.5518916292928312</v>
      </c>
      <c r="I33" s="173">
        <f ca="1">'Central Assistance'!C33/'Aggregate As% of GSDP'!D33*100</f>
        <v>15.225962645686113</v>
      </c>
      <c r="J33" s="173">
        <f ca="1">'Central Assistance'!D33/'Aggregate As% of GSDP'!E33*100</f>
        <v>20.753728087692242</v>
      </c>
      <c r="K33" s="173">
        <f ca="1">'Central Assistance'!E33/'Aggregate As% of GSDP'!F33*100</f>
        <v>12.634914475661564</v>
      </c>
      <c r="L33" s="173">
        <f ca="1">'Central Assistance'!F33/'Aggregate As% of GSDP'!G33*100</f>
        <v>10.466279366931561</v>
      </c>
      <c r="M33" s="173">
        <f ca="1">'Central Assistance'!G33/'Aggregate As% of GSDP'!H33*100</f>
        <v>12.290333545782877</v>
      </c>
      <c r="N33" s="255">
        <f t="shared" si="3"/>
        <v>14.27424362435087</v>
      </c>
    </row>
    <row r="34" spans="1:14">
      <c r="A34" s="195">
        <v>16</v>
      </c>
      <c r="B34" s="196" t="s">
        <v>42</v>
      </c>
      <c r="C34" s="173">
        <f ca="1">'Central Assistance'!C34/'Aggregate As% of GSDP'!I34*100</f>
        <v>0.72984340488635224</v>
      </c>
      <c r="D34" s="173">
        <f ca="1">'Central Assistance'!D34/'Aggregate As% of GSDP'!J34*100</f>
        <v>1.1684135961410886</v>
      </c>
      <c r="E34" s="173">
        <f ca="1">'Central Assistance'!E34/'Aggregate As% of GSDP'!K34*100</f>
        <v>1.1034914457953373</v>
      </c>
      <c r="F34" s="173">
        <f ca="1">'Central Assistance'!F34/'Aggregate As% of GSDP'!L34*100</f>
        <v>1.1358202567996047</v>
      </c>
      <c r="G34" s="173">
        <f ca="1">'Central Assistance'!G34/'Aggregate As% of GSDP'!M34*100</f>
        <v>1.119672421914526</v>
      </c>
      <c r="H34" s="251">
        <f t="shared" si="2"/>
        <v>1.0514482251073818</v>
      </c>
      <c r="I34" s="173">
        <f ca="1">'Central Assistance'!C34/'Aggregate As% of GSDP'!D34*100</f>
        <v>11.071677237373965</v>
      </c>
      <c r="J34" s="173">
        <f ca="1">'Central Assistance'!D34/'Aggregate As% of GSDP'!E34*100</f>
        <v>14.931181488617895</v>
      </c>
      <c r="K34" s="173">
        <f ca="1">'Central Assistance'!E34/'Aggregate As% of GSDP'!F34*100</f>
        <v>17.187194395680063</v>
      </c>
      <c r="L34" s="173">
        <f ca="1">'Central Assistance'!F34/'Aggregate As% of GSDP'!G34*100</f>
        <v>17.886596449377119</v>
      </c>
      <c r="M34" s="173">
        <f ca="1">'Central Assistance'!G34/'Aggregate As% of GSDP'!H34*100</f>
        <v>16.386191489361703</v>
      </c>
      <c r="N34" s="255">
        <f t="shared" si="3"/>
        <v>15.492568212082151</v>
      </c>
    </row>
    <row r="35" spans="1:14">
      <c r="A35" s="195">
        <v>17</v>
      </c>
      <c r="B35" s="196" t="s">
        <v>43</v>
      </c>
      <c r="C35" s="173">
        <f ca="1">'Central Assistance'!C35/'Aggregate As% of GSDP'!I35*100</f>
        <v>0.80835973995185029</v>
      </c>
      <c r="D35" s="173">
        <f ca="1">'Central Assistance'!D35/'Aggregate As% of GSDP'!J35*100</f>
        <v>0.88200338069029249</v>
      </c>
      <c r="E35" s="173">
        <f ca="1">'Central Assistance'!E35/'Aggregate As% of GSDP'!K35*100</f>
        <v>0.68519776503823937</v>
      </c>
      <c r="F35" s="173">
        <f ca="1">'Central Assistance'!F35/'Aggregate As% of GSDP'!L35*100</f>
        <v>0.89062322831023855</v>
      </c>
      <c r="G35" s="173">
        <f ca="1">'Central Assistance'!G35/'Aggregate As% of GSDP'!M35*100</f>
        <v>0.84256793934850593</v>
      </c>
      <c r="H35" s="251">
        <f t="shared" si="2"/>
        <v>0.82175041066782517</v>
      </c>
      <c r="I35" s="173">
        <f ca="1">'Central Assistance'!C35/'Aggregate As% of GSDP'!D35*100</f>
        <v>32.914755284117327</v>
      </c>
      <c r="J35" s="173">
        <f ca="1">'Central Assistance'!D35/'Aggregate As% of GSDP'!E35*100</f>
        <v>34.457922452136707</v>
      </c>
      <c r="K35" s="173">
        <f ca="1">'Central Assistance'!E35/'Aggregate As% of GSDP'!F35*100</f>
        <v>22.363175389609697</v>
      </c>
      <c r="L35" s="173">
        <f ca="1">'Central Assistance'!F35/'Aggregate As% of GSDP'!G35*100</f>
        <v>30.393801736763638</v>
      </c>
      <c r="M35" s="173">
        <f ca="1">'Central Assistance'!G35/'Aggregate As% of GSDP'!H35*100</f>
        <v>20.542135590168357</v>
      </c>
      <c r="N35" s="255">
        <f t="shared" si="3"/>
        <v>28.134358090559147</v>
      </c>
    </row>
    <row r="36" spans="1:14">
      <c r="A36" s="193"/>
      <c r="B36" s="194" t="s">
        <v>139</v>
      </c>
      <c r="C36" s="182">
        <f ca="1">'Central Assistance'!C36/'Aggregate As% of GSDP'!I36*100</f>
        <v>0.82036618759334379</v>
      </c>
      <c r="D36" s="182">
        <f ca="1">'Central Assistance'!D36/'Aggregate As% of GSDP'!J36*100</f>
        <v>0.93691281653254799</v>
      </c>
      <c r="E36" s="182">
        <f ca="1">'Central Assistance'!E36/'Aggregate As% of GSDP'!K36*100</f>
        <v>0.80550183366449468</v>
      </c>
      <c r="F36" s="182">
        <f ca="1">'Central Assistance'!F36/'Aggregate As% of GSDP'!L36*100</f>
        <v>0.8669855438043963</v>
      </c>
      <c r="G36" s="182">
        <f ca="1">'Central Assistance'!G36/'Aggregate As% of GSDP'!M36*100</f>
        <v>0.94560956046971023</v>
      </c>
      <c r="H36" s="251">
        <f t="shared" si="2"/>
        <v>0.87507518841289866</v>
      </c>
      <c r="I36" s="182">
        <f ca="1">'Central Assistance'!C36/'Aggregate As% of GSDP'!D36*100</f>
        <v>16.174971088778086</v>
      </c>
      <c r="J36" s="182">
        <f ca="1">'Central Assistance'!D36/'Aggregate As% of GSDP'!E36*100</f>
        <v>17.093559273125631</v>
      </c>
      <c r="K36" s="182">
        <f ca="1">'Central Assistance'!E36/'Aggregate As% of GSDP'!F36*100</f>
        <v>15.055398317308724</v>
      </c>
      <c r="L36" s="182">
        <f ca="1">'Central Assistance'!F36/'Aggregate As% of GSDP'!G36*100</f>
        <v>16.643535926239007</v>
      </c>
      <c r="M36" s="182">
        <f ca="1">'Central Assistance'!G36/'Aggregate As% of GSDP'!H36*100</f>
        <v>16.148160508730282</v>
      </c>
      <c r="N36" s="255">
        <f t="shared" si="3"/>
        <v>16.223125022836346</v>
      </c>
    </row>
    <row r="37" spans="1:14">
      <c r="A37" s="193"/>
      <c r="B37" s="194" t="s">
        <v>144</v>
      </c>
      <c r="C37" s="182">
        <f ca="1">'Central Assistance'!C37/'Aggregate As% of GSDP'!I37*100</f>
        <v>1.1832654492824306</v>
      </c>
      <c r="D37" s="182">
        <f ca="1">'Central Assistance'!D37/'Aggregate As% of GSDP'!J37*100</f>
        <v>1.2816306061739708</v>
      </c>
      <c r="E37" s="182">
        <f ca="1">'Central Assistance'!E37/'Aggregate As% of GSDP'!K37*100</f>
        <v>1.2186454727783849</v>
      </c>
      <c r="F37" s="182">
        <f ca="1">'Central Assistance'!F37/'Aggregate As% of GSDP'!L37*100</f>
        <v>1.2538046018329945</v>
      </c>
      <c r="G37" s="182">
        <f ca="1">'Central Assistance'!G37/'Aggregate As% of GSDP'!M37*100</f>
        <v>1.3731074939520118</v>
      </c>
      <c r="H37" s="251">
        <f t="shared" ref="H37:H42" si="4">+AVERAGE(C37:G37)</f>
        <v>1.2620907248039586</v>
      </c>
      <c r="I37" s="182">
        <f ca="1">'Central Assistance'!C37/'Aggregate As% of GSDP'!D37*100</f>
        <v>22.100483313211157</v>
      </c>
      <c r="J37" s="182">
        <f ca="1">'Central Assistance'!D37/'Aggregate As% of GSDP'!E37*100</f>
        <v>22.318545944197133</v>
      </c>
      <c r="K37" s="182">
        <f ca="1">'Central Assistance'!E37/'Aggregate As% of GSDP'!F37*100</f>
        <v>21.84294310738159</v>
      </c>
      <c r="L37" s="182">
        <f ca="1">'Central Assistance'!F37/'Aggregate As% of GSDP'!G37*100</f>
        <v>23.085036779250363</v>
      </c>
      <c r="M37" s="182">
        <f ca="1">'Central Assistance'!G37/'Aggregate As% of GSDP'!H37*100</f>
        <v>22.698531193053299</v>
      </c>
      <c r="N37" s="255">
        <f t="shared" ref="N37:N42" si="5">+AVERAGE(I37:M37)</f>
        <v>22.409108067418707</v>
      </c>
    </row>
    <row r="38" spans="1:14">
      <c r="A38" s="193" t="s">
        <v>271</v>
      </c>
      <c r="B38" s="194" t="s">
        <v>276</v>
      </c>
      <c r="C38" s="182"/>
      <c r="D38" s="182"/>
      <c r="E38" s="182"/>
      <c r="F38" s="182"/>
      <c r="G38" s="182"/>
      <c r="H38" s="251"/>
      <c r="I38" s="182"/>
      <c r="J38" s="182"/>
      <c r="K38" s="182"/>
      <c r="L38" s="182"/>
      <c r="M38" s="182"/>
      <c r="N38" s="255"/>
    </row>
    <row r="39" spans="1:14">
      <c r="A39" s="195">
        <v>1</v>
      </c>
      <c r="B39" s="196" t="s">
        <v>145</v>
      </c>
      <c r="C39" s="173">
        <f ca="1">'Central Assistance'!C39/'Aggregate As% of GSDP'!I39*100</f>
        <v>0.45603905107409454</v>
      </c>
      <c r="D39" s="173">
        <f ca="1">'Central Assistance'!D39/'Aggregate As% of GSDP'!J39*100</f>
        <v>0.41844955759683017</v>
      </c>
      <c r="E39" s="173">
        <f ca="1">'Central Assistance'!E39/'Aggregate As% of GSDP'!K39*100</f>
        <v>0.65795342310253446</v>
      </c>
      <c r="F39" s="173">
        <f ca="1">'Central Assistance'!F39/'Aggregate As% of GSDP'!L39*100</f>
        <v>0.40851657491984761</v>
      </c>
      <c r="G39" s="173">
        <f ca="1">'Central Assistance'!G39/'Aggregate As% of GSDP'!M39*100</f>
        <v>0.4006765753311205</v>
      </c>
      <c r="H39" s="251">
        <f t="shared" si="4"/>
        <v>0.46832703640488543</v>
      </c>
      <c r="I39" s="173">
        <f ca="1">'Central Assistance'!C39/'Aggregate As% of GSDP'!D39*100</f>
        <v>8.2344212962917993</v>
      </c>
      <c r="J39" s="173">
        <f ca="1">'Central Assistance'!D39/'Aggregate As% of GSDP'!E39*100</f>
        <v>8.2446981502280057</v>
      </c>
      <c r="K39" s="173">
        <f ca="1">'Central Assistance'!E39/'Aggregate As% of GSDP'!F39*100</f>
        <v>13.325586029400682</v>
      </c>
      <c r="L39" s="173">
        <f ca="1">'Central Assistance'!F39/'Aggregate As% of GSDP'!G39*100</f>
        <v>9.4781578947368423</v>
      </c>
      <c r="M39" s="173">
        <f ca="1">'Central Assistance'!G39/'Aggregate As% of GSDP'!H39*100</f>
        <v>8.3120333046983408</v>
      </c>
      <c r="N39" s="255">
        <f t="shared" si="5"/>
        <v>9.5189793350711334</v>
      </c>
    </row>
    <row r="40" spans="1:14">
      <c r="A40" s="195">
        <v>2</v>
      </c>
      <c r="B40" s="196" t="s">
        <v>47</v>
      </c>
      <c r="C40" s="173">
        <f ca="1">'Central Assistance'!C40/'Aggregate As% of GSDP'!I40*100</f>
        <v>2.7833747702951035</v>
      </c>
      <c r="D40" s="173">
        <f ca="1">'Central Assistance'!D40/'Aggregate As% of GSDP'!J40*100</f>
        <v>1.5612935323383084</v>
      </c>
      <c r="E40" s="173">
        <f ca="1">'Central Assistance'!E40/'Aggregate As% of GSDP'!K40*100</f>
        <v>1.9235719322990126</v>
      </c>
      <c r="F40" s="173">
        <f ca="1">'Central Assistance'!F40/'Aggregate As% of GSDP'!L40*100</f>
        <v>1.3954675535617602</v>
      </c>
      <c r="G40" s="173">
        <f ca="1">'Central Assistance'!G40/'Aggregate As% of GSDP'!M40*100</f>
        <v>2.7671961527251527</v>
      </c>
      <c r="H40" s="251">
        <f t="shared" si="4"/>
        <v>2.0861807882438677</v>
      </c>
      <c r="I40" s="173">
        <f ca="1">'Central Assistance'!C40/'Aggregate As% of GSDP'!D40*100</f>
        <v>23.694120308048408</v>
      </c>
      <c r="J40" s="173">
        <f ca="1">'Central Assistance'!D40/'Aggregate As% of GSDP'!E40*100</f>
        <v>14.792246754774698</v>
      </c>
      <c r="K40" s="173">
        <f ca="1">'Central Assistance'!E40/'Aggregate As% of GSDP'!F40*100</f>
        <v>15.049712813325906</v>
      </c>
      <c r="L40" s="173">
        <f ca="1">'Central Assistance'!F40/'Aggregate As% of GSDP'!G40*100</f>
        <v>11.54688</v>
      </c>
      <c r="M40" s="173">
        <f ca="1">'Central Assistance'!G40/'Aggregate As% of GSDP'!H40*100</f>
        <v>21.275630252100839</v>
      </c>
      <c r="N40" s="255">
        <f t="shared" si="5"/>
        <v>17.271718025649967</v>
      </c>
    </row>
    <row r="41" spans="1:14">
      <c r="A41" s="211"/>
      <c r="B41" s="198" t="s">
        <v>146</v>
      </c>
      <c r="C41" s="182">
        <f ca="1">'Central Assistance'!C41/'Aggregate As% of GSDP'!I41*100</f>
        <v>0.58480962690941285</v>
      </c>
      <c r="D41" s="182">
        <f ca="1">'Central Assistance'!D41/'Aggregate As% of GSDP'!J41*100</f>
        <v>0.475997454693035</v>
      </c>
      <c r="E41" s="182">
        <f ca="1">'Central Assistance'!E41/'Aggregate As% of GSDP'!K41*100</f>
        <v>0.71902102482741603</v>
      </c>
      <c r="F41" s="182">
        <f ca="1">'Central Assistance'!F41/'Aggregate As% of GSDP'!L41*100</f>
        <v>0.45451203027845366</v>
      </c>
      <c r="G41" s="182">
        <f ca="1">'Central Assistance'!G41/'Aggregate As% of GSDP'!M41*100</f>
        <v>0.49979857046066323</v>
      </c>
      <c r="H41" s="251">
        <f t="shared" si="4"/>
        <v>0.5468277414337962</v>
      </c>
      <c r="I41" s="182">
        <f ca="1">'Central Assistance'!C41/'Aggregate As% of GSDP'!D41*100</f>
        <v>9.9427989340494687</v>
      </c>
      <c r="J41" s="182">
        <f ca="1">'Central Assistance'!D41/'Aggregate As% of GSDP'!E41*100</f>
        <v>8.8949967639874234</v>
      </c>
      <c r="K41" s="182">
        <f ca="1">'Central Assistance'!E41/'Aggregate As% of GSDP'!F41*100</f>
        <v>13.525605648390982</v>
      </c>
      <c r="L41" s="182">
        <f ca="1">'Central Assistance'!F41/'Aggregate As% of GSDP'!G41*100</f>
        <v>9.7275216972034713</v>
      </c>
      <c r="M41" s="182">
        <f ca="1">'Central Assistance'!G41/'Aggregate As% of GSDP'!H41*100</f>
        <v>9.6798084880009441</v>
      </c>
      <c r="N41" s="255">
        <f t="shared" si="5"/>
        <v>10.354146306326459</v>
      </c>
    </row>
    <row r="42" spans="1:14" s="148" customFormat="1" ht="15">
      <c r="A42" s="212"/>
      <c r="B42" s="198" t="s">
        <v>147</v>
      </c>
      <c r="C42" s="182">
        <f ca="1">'Central Assistance'!C42/'Aggregate As% of GSDP'!I42*100</f>
        <v>1.1602194437899505</v>
      </c>
      <c r="D42" s="182">
        <f ca="1">'Central Assistance'!D42/'Aggregate As% of GSDP'!J42*100</f>
        <v>1.2495607390219163</v>
      </c>
      <c r="E42" s="182">
        <f ca="1">'Central Assistance'!E42/'Aggregate As% of GSDP'!K42*100</f>
        <v>1.1984676415411484</v>
      </c>
      <c r="F42" s="182">
        <f ca="1">'Central Assistance'!F42/'Aggregate As% of GSDP'!L42*100</f>
        <v>1.2213456324217677</v>
      </c>
      <c r="G42" s="182">
        <f ca="1">'Central Assistance'!G42/'Aggregate As% of GSDP'!M42*100</f>
        <v>1.3367685681483428</v>
      </c>
      <c r="H42" s="251">
        <f t="shared" si="4"/>
        <v>1.2332724049846251</v>
      </c>
      <c r="I42" s="182">
        <f ca="1">'Central Assistance'!C42/'Aggregate As% of GSDP'!D42*100</f>
        <v>21.58810047329774</v>
      </c>
      <c r="J42" s="182">
        <f ca="1">'Central Assistance'!D42/'Aggregate As% of GSDP'!E42*100</f>
        <v>21.819238271427842</v>
      </c>
      <c r="K42" s="182">
        <f ca="1">'Central Assistance'!E42/'Aggregate As% of GSDP'!F42*100</f>
        <v>21.522270569166004</v>
      </c>
      <c r="L42" s="182">
        <f ca="1">'Central Assistance'!F42/'Aggregate As% of GSDP'!G42*100</f>
        <v>22.615716240520928</v>
      </c>
      <c r="M42" s="182">
        <f ca="1">'Central Assistance'!G42/'Aggregate As% of GSDP'!H42*100</f>
        <v>22.233321314882076</v>
      </c>
      <c r="N42" s="255">
        <f t="shared" si="5"/>
        <v>21.955729373858915</v>
      </c>
    </row>
    <row r="43" spans="1:14">
      <c r="B43" s="545" t="s">
        <v>181</v>
      </c>
      <c r="C43" s="545"/>
      <c r="D43" s="545"/>
      <c r="E43" s="545"/>
      <c r="F43" s="545"/>
      <c r="G43" s="545"/>
      <c r="H43" s="545"/>
      <c r="I43" s="545"/>
      <c r="J43" s="545"/>
      <c r="K43" s="545"/>
    </row>
    <row r="44" spans="1:14">
      <c r="C44" s="203" t="s">
        <v>55</v>
      </c>
      <c r="D44" s="203" t="s">
        <v>56</v>
      </c>
      <c r="E44" s="203" t="s">
        <v>7</v>
      </c>
      <c r="F44" s="203" t="s">
        <v>8</v>
      </c>
      <c r="G44" s="204" t="s">
        <v>9</v>
      </c>
      <c r="H44" s="204"/>
    </row>
    <row r="45" spans="1:14" ht="30.75">
      <c r="B45" s="207" t="s">
        <v>148</v>
      </c>
      <c r="C45" s="185">
        <v>1.0575626543951435</v>
      </c>
      <c r="D45" s="185">
        <v>1.1491966754819751</v>
      </c>
      <c r="E45" s="185">
        <v>1.2177408980745625</v>
      </c>
      <c r="F45" s="185">
        <v>1.321012313637526</v>
      </c>
      <c r="G45" s="185">
        <v>1.426611476076826</v>
      </c>
      <c r="H45" s="185"/>
    </row>
    <row r="46" spans="1:14">
      <c r="C46" s="186">
        <v>257.49</v>
      </c>
      <c r="D46" s="186">
        <v>156.9</v>
      </c>
      <c r="E46" s="186"/>
      <c r="F46" s="186"/>
      <c r="G46" s="186"/>
      <c r="H46" s="186"/>
    </row>
    <row r="48" spans="1:14">
      <c r="C48" s="146"/>
      <c r="D48" s="146"/>
      <c r="E48" s="146"/>
      <c r="F48" s="146"/>
      <c r="G48" s="146"/>
      <c r="H48" s="146"/>
      <c r="I48" s="146"/>
    </row>
    <row r="49" spans="3:9">
      <c r="C49" s="146"/>
      <c r="D49" s="146"/>
      <c r="E49" s="146"/>
      <c r="F49" s="146"/>
      <c r="G49" s="146"/>
      <c r="H49" s="146"/>
      <c r="I49" s="146"/>
    </row>
    <row r="51" spans="3:9">
      <c r="C51" s="146"/>
      <c r="D51" s="146"/>
      <c r="E51" s="146"/>
      <c r="F51" s="146"/>
      <c r="G51" s="146"/>
      <c r="H51" s="146"/>
      <c r="I51" s="146"/>
    </row>
  </sheetData>
  <mergeCells count="7">
    <mergeCell ref="B43:K43"/>
    <mergeCell ref="A1:L1"/>
    <mergeCell ref="A2:A3"/>
    <mergeCell ref="B2:B3"/>
    <mergeCell ref="C2:H2"/>
    <mergeCell ref="I2:N2"/>
    <mergeCell ref="M1:N1"/>
  </mergeCells>
  <phoneticPr fontId="63" type="noConversion"/>
  <printOptions horizontalCentered="1"/>
  <pageMargins left="0.23622047244094491" right="0.27559055118110237" top="0.78740157480314965" bottom="0.39370078740157483" header="0" footer="0"/>
  <pageSetup paperSize="9" scale="71" orientation="landscape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45"/>
  <sheetViews>
    <sheetView view="pageBreakPreview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5.28515625" style="150" customWidth="1"/>
    <col min="2" max="2" width="35.28515625" style="147" customWidth="1"/>
    <col min="3" max="13" width="12" style="147" customWidth="1"/>
    <col min="14" max="14" width="11.42578125" style="147" customWidth="1"/>
    <col min="15" max="16384" width="9.140625" style="147"/>
  </cols>
  <sheetData>
    <row r="1" spans="1:14" ht="48" customHeight="1">
      <c r="A1" s="558" t="s">
        <v>196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277" t="s">
        <v>128</v>
      </c>
    </row>
    <row r="2" spans="1:14" s="258" customFormat="1" ht="15" customHeight="1">
      <c r="A2" s="542" t="s">
        <v>99</v>
      </c>
      <c r="B2" s="544" t="s">
        <v>129</v>
      </c>
      <c r="C2" s="546" t="s">
        <v>164</v>
      </c>
      <c r="D2" s="546"/>
      <c r="E2" s="546"/>
      <c r="F2" s="546"/>
      <c r="G2" s="546"/>
      <c r="H2" s="546"/>
      <c r="I2" s="546" t="s">
        <v>163</v>
      </c>
      <c r="J2" s="546"/>
      <c r="K2" s="546"/>
      <c r="L2" s="546"/>
      <c r="M2" s="546"/>
      <c r="N2" s="546"/>
    </row>
    <row r="3" spans="1:14" s="258" customFormat="1" ht="15" customHeight="1">
      <c r="A3" s="542"/>
      <c r="B3" s="544"/>
      <c r="C3" s="172" t="s">
        <v>55</v>
      </c>
      <c r="D3" s="172" t="s">
        <v>56</v>
      </c>
      <c r="E3" s="172" t="s">
        <v>7</v>
      </c>
      <c r="F3" s="172" t="s">
        <v>8</v>
      </c>
      <c r="G3" s="172" t="s">
        <v>9</v>
      </c>
      <c r="H3" s="245" t="s">
        <v>130</v>
      </c>
      <c r="I3" s="172" t="s">
        <v>55</v>
      </c>
      <c r="J3" s="172" t="s">
        <v>56</v>
      </c>
      <c r="K3" s="172" t="s">
        <v>7</v>
      </c>
      <c r="L3" s="172" t="s">
        <v>8</v>
      </c>
      <c r="M3" s="172" t="s">
        <v>9</v>
      </c>
      <c r="N3" s="248" t="s">
        <v>130</v>
      </c>
    </row>
    <row r="4" spans="1:14" s="258" customFormat="1">
      <c r="A4" s="542"/>
      <c r="B4" s="544"/>
      <c r="C4" s="172" t="s">
        <v>10</v>
      </c>
      <c r="D4" s="172" t="s">
        <v>10</v>
      </c>
      <c r="E4" s="172" t="s">
        <v>10</v>
      </c>
      <c r="F4" s="172" t="s">
        <v>133</v>
      </c>
      <c r="G4" s="172" t="s">
        <v>134</v>
      </c>
      <c r="H4" s="245" t="s">
        <v>136</v>
      </c>
      <c r="I4" s="172" t="s">
        <v>10</v>
      </c>
      <c r="J4" s="172" t="s">
        <v>10</v>
      </c>
      <c r="K4" s="172" t="s">
        <v>10</v>
      </c>
      <c r="L4" s="172" t="s">
        <v>133</v>
      </c>
      <c r="M4" s="172" t="s">
        <v>134</v>
      </c>
      <c r="N4" s="248" t="s">
        <v>136</v>
      </c>
    </row>
    <row r="5" spans="1:14" ht="15.75">
      <c r="A5" s="417" t="s">
        <v>137</v>
      </c>
      <c r="B5" s="179" t="s">
        <v>141</v>
      </c>
      <c r="C5" s="214"/>
      <c r="D5" s="214"/>
      <c r="E5" s="214"/>
      <c r="F5" s="214"/>
      <c r="G5" s="214"/>
      <c r="H5" s="246"/>
      <c r="I5" s="214"/>
      <c r="J5" s="214"/>
      <c r="K5" s="214"/>
      <c r="L5" s="214"/>
      <c r="M5" s="214"/>
      <c r="N5" s="249"/>
    </row>
    <row r="6" spans="1:14" ht="18" customHeight="1">
      <c r="A6" s="189">
        <v>1</v>
      </c>
      <c r="B6" s="180" t="s">
        <v>14</v>
      </c>
      <c r="C6" s="214">
        <v>0</v>
      </c>
      <c r="D6" s="214">
        <v>0</v>
      </c>
      <c r="E6" s="214">
        <v>0</v>
      </c>
      <c r="F6" s="214">
        <v>10.85</v>
      </c>
      <c r="G6" s="214">
        <v>0</v>
      </c>
      <c r="H6" s="247">
        <f t="shared" ref="H6:H17" si="0">+SUM(C6:G6)</f>
        <v>10.85</v>
      </c>
      <c r="I6" s="214">
        <f t="shared" ref="I6:I16" si="1">+C6/C$45</f>
        <v>0</v>
      </c>
      <c r="J6" s="214">
        <f t="shared" ref="J6:J16" si="2">+D6/D$45</f>
        <v>0</v>
      </c>
      <c r="K6" s="214">
        <f t="shared" ref="K6:K16" si="3">+E6/E$45</f>
        <v>0</v>
      </c>
      <c r="L6" s="214">
        <f t="shared" ref="L6:L16" si="4">+F6/F$45</f>
        <v>8.2133980796314834</v>
      </c>
      <c r="M6" s="214">
        <f t="shared" ref="M6:M16" si="5">+G6/G$45</f>
        <v>0</v>
      </c>
      <c r="N6" s="250">
        <f t="shared" ref="N6:N17" si="6">+SUM(I6:M6)</f>
        <v>8.2133980796314834</v>
      </c>
    </row>
    <row r="7" spans="1:14" ht="15.75">
      <c r="A7" s="189">
        <v>2</v>
      </c>
      <c r="B7" s="180" t="s">
        <v>15</v>
      </c>
      <c r="C7" s="214">
        <v>-35.96</v>
      </c>
      <c r="D7" s="214">
        <v>132.52000000000001</v>
      </c>
      <c r="E7" s="214">
        <v>-220.37</v>
      </c>
      <c r="F7" s="214">
        <v>-967.54000000000008</v>
      </c>
      <c r="G7" s="214">
        <v>-1014.67</v>
      </c>
      <c r="H7" s="247">
        <f t="shared" si="0"/>
        <v>-2106.02</v>
      </c>
      <c r="I7" s="214">
        <f t="shared" si="1"/>
        <v>-34.002713551346766</v>
      </c>
      <c r="J7" s="214">
        <f t="shared" si="2"/>
        <v>115.31533533580829</v>
      </c>
      <c r="K7" s="214">
        <f t="shared" si="3"/>
        <v>-180.96624688259973</v>
      </c>
      <c r="L7" s="214">
        <f t="shared" si="4"/>
        <v>-732.42315004300895</v>
      </c>
      <c r="M7" s="214">
        <f t="shared" si="5"/>
        <v>-711.24480421981252</v>
      </c>
      <c r="N7" s="250">
        <f t="shared" si="6"/>
        <v>-1543.3215793609597</v>
      </c>
    </row>
    <row r="8" spans="1:14" ht="15.75">
      <c r="A8" s="189">
        <v>3</v>
      </c>
      <c r="B8" s="180" t="s">
        <v>16</v>
      </c>
      <c r="C8" s="214">
        <v>0</v>
      </c>
      <c r="D8" s="214">
        <v>0</v>
      </c>
      <c r="E8" s="214">
        <v>0</v>
      </c>
      <c r="F8" s="214">
        <v>0</v>
      </c>
      <c r="G8" s="214">
        <v>350</v>
      </c>
      <c r="H8" s="247">
        <f t="shared" si="0"/>
        <v>350</v>
      </c>
      <c r="I8" s="214">
        <f t="shared" si="1"/>
        <v>0</v>
      </c>
      <c r="J8" s="214">
        <f t="shared" si="2"/>
        <v>0</v>
      </c>
      <c r="K8" s="214">
        <f t="shared" si="3"/>
        <v>0</v>
      </c>
      <c r="L8" s="214">
        <f t="shared" si="4"/>
        <v>0</v>
      </c>
      <c r="M8" s="214">
        <f t="shared" si="5"/>
        <v>245.33659364811655</v>
      </c>
      <c r="N8" s="250">
        <f t="shared" si="6"/>
        <v>245.33659364811655</v>
      </c>
    </row>
    <row r="9" spans="1:14" ht="15.75">
      <c r="A9" s="189">
        <v>4</v>
      </c>
      <c r="B9" s="180" t="s">
        <v>142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247">
        <f t="shared" si="0"/>
        <v>0</v>
      </c>
      <c r="I9" s="214">
        <f t="shared" si="1"/>
        <v>0</v>
      </c>
      <c r="J9" s="214">
        <f t="shared" si="2"/>
        <v>0</v>
      </c>
      <c r="K9" s="214">
        <f t="shared" si="3"/>
        <v>0</v>
      </c>
      <c r="L9" s="214">
        <f t="shared" si="4"/>
        <v>0</v>
      </c>
      <c r="M9" s="214">
        <f t="shared" si="5"/>
        <v>0</v>
      </c>
      <c r="N9" s="250">
        <f t="shared" si="6"/>
        <v>0</v>
      </c>
    </row>
    <row r="10" spans="1:14" ht="15.75">
      <c r="A10" s="189">
        <v>5</v>
      </c>
      <c r="B10" s="180" t="s">
        <v>18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47">
        <f t="shared" si="0"/>
        <v>0</v>
      </c>
      <c r="I10" s="214">
        <f t="shared" si="1"/>
        <v>0</v>
      </c>
      <c r="J10" s="214">
        <f t="shared" si="2"/>
        <v>0</v>
      </c>
      <c r="K10" s="214">
        <f t="shared" si="3"/>
        <v>0</v>
      </c>
      <c r="L10" s="214">
        <f t="shared" si="4"/>
        <v>0</v>
      </c>
      <c r="M10" s="214">
        <f t="shared" si="5"/>
        <v>0</v>
      </c>
      <c r="N10" s="250">
        <f t="shared" si="6"/>
        <v>0</v>
      </c>
    </row>
    <row r="11" spans="1:14" ht="15.75">
      <c r="A11" s="189">
        <v>6</v>
      </c>
      <c r="B11" s="180" t="s">
        <v>19</v>
      </c>
      <c r="C11" s="214">
        <v>0</v>
      </c>
      <c r="D11" s="214">
        <v>0</v>
      </c>
      <c r="E11" s="214">
        <v>0</v>
      </c>
      <c r="F11" s="214">
        <v>0</v>
      </c>
      <c r="G11" s="214">
        <v>448.81</v>
      </c>
      <c r="H11" s="247">
        <f t="shared" si="0"/>
        <v>448.81</v>
      </c>
      <c r="I11" s="214">
        <f t="shared" si="1"/>
        <v>0</v>
      </c>
      <c r="J11" s="214">
        <f t="shared" si="2"/>
        <v>0</v>
      </c>
      <c r="K11" s="214">
        <f t="shared" si="3"/>
        <v>0</v>
      </c>
      <c r="L11" s="214">
        <f t="shared" si="4"/>
        <v>0</v>
      </c>
      <c r="M11" s="214">
        <f t="shared" si="5"/>
        <v>314.59861884346054</v>
      </c>
      <c r="N11" s="250">
        <f t="shared" si="6"/>
        <v>314.59861884346054</v>
      </c>
    </row>
    <row r="12" spans="1:14" ht="15.75">
      <c r="A12" s="189">
        <v>7</v>
      </c>
      <c r="B12" s="180" t="s">
        <v>20</v>
      </c>
      <c r="C12" s="214">
        <v>-1.17</v>
      </c>
      <c r="D12" s="214">
        <v>1.0900000000000001</v>
      </c>
      <c r="E12" s="214">
        <v>0.99</v>
      </c>
      <c r="F12" s="214">
        <v>-0.61</v>
      </c>
      <c r="G12" s="214">
        <v>11.629999999999999</v>
      </c>
      <c r="H12" s="247">
        <f t="shared" si="0"/>
        <v>11.93</v>
      </c>
      <c r="I12" s="214">
        <f t="shared" si="1"/>
        <v>-1.1063174320098919</v>
      </c>
      <c r="J12" s="214">
        <f t="shared" si="2"/>
        <v>0.94848864711765035</v>
      </c>
      <c r="K12" s="214">
        <f t="shared" si="3"/>
        <v>0.81298082503867919</v>
      </c>
      <c r="L12" s="214">
        <f t="shared" si="4"/>
        <v>-0.46176708097467328</v>
      </c>
      <c r="M12" s="214">
        <f t="shared" si="5"/>
        <v>8.1521845260788428</v>
      </c>
      <c r="N12" s="250">
        <f t="shared" si="6"/>
        <v>8.345569485250607</v>
      </c>
    </row>
    <row r="13" spans="1:14" ht="15.75">
      <c r="A13" s="189">
        <v>8</v>
      </c>
      <c r="B13" s="180" t="s">
        <v>21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47">
        <f t="shared" si="0"/>
        <v>0</v>
      </c>
      <c r="I13" s="214">
        <f t="shared" si="1"/>
        <v>0</v>
      </c>
      <c r="J13" s="214">
        <f t="shared" si="2"/>
        <v>0</v>
      </c>
      <c r="K13" s="214">
        <f t="shared" si="3"/>
        <v>0</v>
      </c>
      <c r="L13" s="214">
        <f t="shared" si="4"/>
        <v>0</v>
      </c>
      <c r="M13" s="214">
        <f t="shared" si="5"/>
        <v>0</v>
      </c>
      <c r="N13" s="250">
        <f t="shared" si="6"/>
        <v>0</v>
      </c>
    </row>
    <row r="14" spans="1:14" ht="15.75">
      <c r="A14" s="189">
        <v>9</v>
      </c>
      <c r="B14" s="180" t="s">
        <v>22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47">
        <f t="shared" si="0"/>
        <v>0</v>
      </c>
      <c r="I14" s="214">
        <f t="shared" si="1"/>
        <v>0</v>
      </c>
      <c r="J14" s="214">
        <f t="shared" si="2"/>
        <v>0</v>
      </c>
      <c r="K14" s="214">
        <f t="shared" si="3"/>
        <v>0</v>
      </c>
      <c r="L14" s="214">
        <f t="shared" si="4"/>
        <v>0</v>
      </c>
      <c r="M14" s="214">
        <f t="shared" si="5"/>
        <v>0</v>
      </c>
      <c r="N14" s="250">
        <f t="shared" si="6"/>
        <v>0</v>
      </c>
    </row>
    <row r="15" spans="1:14" ht="15.75">
      <c r="A15" s="189">
        <v>10</v>
      </c>
      <c r="B15" s="180" t="s">
        <v>23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47">
        <f t="shared" si="0"/>
        <v>0</v>
      </c>
      <c r="I15" s="214">
        <f t="shared" si="1"/>
        <v>0</v>
      </c>
      <c r="J15" s="214">
        <f t="shared" si="2"/>
        <v>0</v>
      </c>
      <c r="K15" s="214">
        <f t="shared" si="3"/>
        <v>0</v>
      </c>
      <c r="L15" s="214">
        <f t="shared" si="4"/>
        <v>0</v>
      </c>
      <c r="M15" s="214">
        <f t="shared" si="5"/>
        <v>0</v>
      </c>
      <c r="N15" s="250">
        <f t="shared" si="6"/>
        <v>0</v>
      </c>
    </row>
    <row r="16" spans="1:14" ht="15.75">
      <c r="A16" s="189">
        <v>11</v>
      </c>
      <c r="B16" s="180" t="s">
        <v>24</v>
      </c>
      <c r="C16" s="214">
        <v>970.13406806966714</v>
      </c>
      <c r="D16" s="214">
        <v>424.96511646514972</v>
      </c>
      <c r="E16" s="214">
        <v>996.66</v>
      </c>
      <c r="F16" s="214">
        <v>1397.4524999999999</v>
      </c>
      <c r="G16" s="214">
        <v>1311.23</v>
      </c>
      <c r="H16" s="247">
        <f t="shared" si="0"/>
        <v>5100.4416845348169</v>
      </c>
      <c r="I16" s="214">
        <f t="shared" si="1"/>
        <v>917.33011187362717</v>
      </c>
      <c r="J16" s="214">
        <f t="shared" si="2"/>
        <v>369.79320035616934</v>
      </c>
      <c r="K16" s="214">
        <f t="shared" si="3"/>
        <v>818.44996877075755</v>
      </c>
      <c r="L16" s="214">
        <f t="shared" si="4"/>
        <v>1057.8648552881305</v>
      </c>
      <c r="M16" s="214">
        <f t="shared" si="5"/>
        <v>919.12200482634239</v>
      </c>
      <c r="N16" s="250">
        <f t="shared" si="6"/>
        <v>4082.5601411150265</v>
      </c>
    </row>
    <row r="17" spans="1:14" ht="15.75">
      <c r="A17" s="187"/>
      <c r="B17" s="179" t="s">
        <v>143</v>
      </c>
      <c r="C17" s="216">
        <f t="shared" ref="C17:M17" si="7">SUM(C6:C16)</f>
        <v>933.00406806966714</v>
      </c>
      <c r="D17" s="216">
        <f t="shared" si="7"/>
        <v>558.57511646514968</v>
      </c>
      <c r="E17" s="216">
        <f t="shared" si="7"/>
        <v>777.28</v>
      </c>
      <c r="F17" s="216">
        <f t="shared" si="7"/>
        <v>440.1524999999998</v>
      </c>
      <c r="G17" s="216">
        <f t="shared" si="7"/>
        <v>1107</v>
      </c>
      <c r="H17" s="247">
        <f t="shared" si="0"/>
        <v>3816.0116845348161</v>
      </c>
      <c r="I17" s="216">
        <f t="shared" si="7"/>
        <v>882.22108089027051</v>
      </c>
      <c r="J17" s="216">
        <f t="shared" si="7"/>
        <v>486.05702433909528</v>
      </c>
      <c r="K17" s="216">
        <f t="shared" si="7"/>
        <v>638.29670271319651</v>
      </c>
      <c r="L17" s="216">
        <f t="shared" si="7"/>
        <v>333.19333624377828</v>
      </c>
      <c r="M17" s="216">
        <f t="shared" si="7"/>
        <v>775.96459762418579</v>
      </c>
      <c r="N17" s="250">
        <f t="shared" si="6"/>
        <v>3115.7327418105265</v>
      </c>
    </row>
    <row r="18" spans="1:14" ht="15.75">
      <c r="A18" s="417" t="s">
        <v>140</v>
      </c>
      <c r="B18" s="179" t="s">
        <v>275</v>
      </c>
      <c r="C18" s="172"/>
      <c r="D18" s="172"/>
      <c r="E18" s="172"/>
      <c r="F18" s="172"/>
      <c r="G18" s="172"/>
      <c r="H18" s="245"/>
      <c r="I18" s="172"/>
      <c r="J18" s="172"/>
      <c r="K18" s="172"/>
      <c r="L18" s="172"/>
      <c r="M18" s="172"/>
      <c r="N18" s="248"/>
    </row>
    <row r="19" spans="1:14" ht="15.75">
      <c r="A19" s="189">
        <v>1</v>
      </c>
      <c r="B19" s="180" t="s">
        <v>27</v>
      </c>
      <c r="C19" s="214">
        <v>0</v>
      </c>
      <c r="D19" s="214">
        <v>0</v>
      </c>
      <c r="E19" s="214">
        <v>0</v>
      </c>
      <c r="F19" s="214">
        <v>0</v>
      </c>
      <c r="G19" s="214">
        <v>0</v>
      </c>
      <c r="H19" s="247">
        <f>+SUM(C19:G19)</f>
        <v>0</v>
      </c>
      <c r="I19" s="214">
        <f t="shared" ref="I19:I35" si="8">+C19/C$45</f>
        <v>0</v>
      </c>
      <c r="J19" s="214">
        <f t="shared" ref="J19:J35" si="9">+D19/D$45</f>
        <v>0</v>
      </c>
      <c r="K19" s="214">
        <f t="shared" ref="K19:K35" si="10">+E19/E$45</f>
        <v>0</v>
      </c>
      <c r="L19" s="214">
        <f t="shared" ref="L19:L35" si="11">+F19/F$45</f>
        <v>0</v>
      </c>
      <c r="M19" s="214">
        <f t="shared" ref="M19:M35" si="12">+G19/G$45</f>
        <v>0</v>
      </c>
      <c r="N19" s="250">
        <f>+SUM(I19:M19)</f>
        <v>0</v>
      </c>
    </row>
    <row r="20" spans="1:14" ht="15.75">
      <c r="A20" s="189">
        <v>2</v>
      </c>
      <c r="B20" s="180" t="s">
        <v>28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  <c r="H20" s="247">
        <f t="shared" ref="H20:H36" si="13">+SUM(C20:G20)</f>
        <v>0</v>
      </c>
      <c r="I20" s="214">
        <f t="shared" si="8"/>
        <v>0</v>
      </c>
      <c r="J20" s="214">
        <f t="shared" si="9"/>
        <v>0</v>
      </c>
      <c r="K20" s="214">
        <f t="shared" si="10"/>
        <v>0</v>
      </c>
      <c r="L20" s="214">
        <f t="shared" si="11"/>
        <v>0</v>
      </c>
      <c r="M20" s="214">
        <f t="shared" si="12"/>
        <v>0</v>
      </c>
      <c r="N20" s="250">
        <f t="shared" ref="N20:N36" si="14">+SUM(I20:M20)</f>
        <v>0</v>
      </c>
    </row>
    <row r="21" spans="1:14" ht="15.75">
      <c r="A21" s="189">
        <v>3</v>
      </c>
      <c r="B21" s="180" t="s">
        <v>29</v>
      </c>
      <c r="C21" s="214">
        <v>61.64</v>
      </c>
      <c r="D21" s="214">
        <v>0</v>
      </c>
      <c r="E21" s="214">
        <v>0</v>
      </c>
      <c r="F21" s="214">
        <v>196.1</v>
      </c>
      <c r="G21" s="214">
        <v>235.32</v>
      </c>
      <c r="H21" s="247">
        <f t="shared" si="13"/>
        <v>493.06</v>
      </c>
      <c r="I21" s="214">
        <f t="shared" si="8"/>
        <v>58.284962828281827</v>
      </c>
      <c r="J21" s="214">
        <f t="shared" si="9"/>
        <v>0</v>
      </c>
      <c r="K21" s="214">
        <f t="shared" si="10"/>
        <v>0</v>
      </c>
      <c r="L21" s="214">
        <f t="shared" si="11"/>
        <v>148.44676160513677</v>
      </c>
      <c r="M21" s="214">
        <f t="shared" si="12"/>
        <v>164.95030633507082</v>
      </c>
      <c r="N21" s="250">
        <f t="shared" si="14"/>
        <v>371.68203076848943</v>
      </c>
    </row>
    <row r="22" spans="1:14" ht="15.75">
      <c r="A22" s="189">
        <v>4</v>
      </c>
      <c r="B22" s="180" t="s">
        <v>30</v>
      </c>
      <c r="C22" s="214">
        <v>87.7</v>
      </c>
      <c r="D22" s="214">
        <v>133.23000000000002</v>
      </c>
      <c r="E22" s="214">
        <v>189.17</v>
      </c>
      <c r="F22" s="214">
        <v>-205.30999999999997</v>
      </c>
      <c r="G22" s="214">
        <v>-67.869999999999948</v>
      </c>
      <c r="H22" s="247">
        <f t="shared" si="13"/>
        <v>136.9200000000001</v>
      </c>
      <c r="I22" s="214">
        <f t="shared" si="8"/>
        <v>82.926528878006437</v>
      </c>
      <c r="J22" s="214">
        <f t="shared" si="9"/>
        <v>115.93315821604089</v>
      </c>
      <c r="K22" s="214">
        <f t="shared" si="10"/>
        <v>155.34503300259286</v>
      </c>
      <c r="L22" s="214">
        <f t="shared" si="11"/>
        <v>-155.41868753263961</v>
      </c>
      <c r="M22" s="214">
        <f t="shared" si="12"/>
        <v>-47.574270316850445</v>
      </c>
      <c r="N22" s="250">
        <f t="shared" si="14"/>
        <v>151.21176224715015</v>
      </c>
    </row>
    <row r="23" spans="1:14" ht="15.75">
      <c r="A23" s="189">
        <v>5</v>
      </c>
      <c r="B23" s="180" t="s">
        <v>31</v>
      </c>
      <c r="C23" s="214">
        <v>1000</v>
      </c>
      <c r="D23" s="214">
        <v>1020</v>
      </c>
      <c r="E23" s="214">
        <v>1500</v>
      </c>
      <c r="F23" s="214">
        <v>0</v>
      </c>
      <c r="G23" s="214">
        <v>5742</v>
      </c>
      <c r="H23" s="247">
        <f t="shared" si="13"/>
        <v>9262</v>
      </c>
      <c r="I23" s="214">
        <f t="shared" si="8"/>
        <v>945.57045470930927</v>
      </c>
      <c r="J23" s="214">
        <f t="shared" si="9"/>
        <v>887.57653216514063</v>
      </c>
      <c r="K23" s="214">
        <f t="shared" si="10"/>
        <v>1231.7891288464837</v>
      </c>
      <c r="L23" s="214">
        <f t="shared" si="11"/>
        <v>0</v>
      </c>
      <c r="M23" s="214">
        <f t="shared" si="12"/>
        <v>4024.922059221386</v>
      </c>
      <c r="N23" s="250">
        <f t="shared" si="14"/>
        <v>7089.8581749423192</v>
      </c>
    </row>
    <row r="24" spans="1:14" ht="15.75">
      <c r="A24" s="189">
        <v>6</v>
      </c>
      <c r="B24" s="180" t="s">
        <v>32</v>
      </c>
      <c r="C24" s="214">
        <v>4612.34</v>
      </c>
      <c r="D24" s="214">
        <v>5355.41</v>
      </c>
      <c r="E24" s="214">
        <v>5256.6900000000005</v>
      </c>
      <c r="F24" s="214">
        <v>4679.34</v>
      </c>
      <c r="G24" s="214">
        <v>4959.32</v>
      </c>
      <c r="H24" s="247">
        <f t="shared" si="13"/>
        <v>24863.1</v>
      </c>
      <c r="I24" s="214">
        <f t="shared" si="8"/>
        <v>4361.2924310739363</v>
      </c>
      <c r="J24" s="214">
        <f t="shared" si="9"/>
        <v>4660.1335648259956</v>
      </c>
      <c r="K24" s="214">
        <f t="shared" si="10"/>
        <v>4316.7557304773482</v>
      </c>
      <c r="L24" s="214">
        <f t="shared" si="11"/>
        <v>3542.2379880131602</v>
      </c>
      <c r="M24" s="214">
        <f t="shared" si="12"/>
        <v>3476.2933588885066</v>
      </c>
      <c r="N24" s="250">
        <f t="shared" si="14"/>
        <v>20356.713073278945</v>
      </c>
    </row>
    <row r="25" spans="1:14" ht="15.75">
      <c r="A25" s="189">
        <v>7</v>
      </c>
      <c r="B25" s="180" t="s">
        <v>33</v>
      </c>
      <c r="C25" s="214">
        <v>0</v>
      </c>
      <c r="D25" s="214">
        <v>0</v>
      </c>
      <c r="E25" s="214">
        <v>0</v>
      </c>
      <c r="F25" s="214">
        <v>0</v>
      </c>
      <c r="G25" s="214">
        <v>0</v>
      </c>
      <c r="H25" s="247">
        <f t="shared" si="13"/>
        <v>0</v>
      </c>
      <c r="I25" s="214">
        <f t="shared" si="8"/>
        <v>0</v>
      </c>
      <c r="J25" s="214">
        <f t="shared" si="9"/>
        <v>0</v>
      </c>
      <c r="K25" s="214">
        <f t="shared" si="10"/>
        <v>0</v>
      </c>
      <c r="L25" s="214">
        <f t="shared" si="11"/>
        <v>0</v>
      </c>
      <c r="M25" s="214">
        <f t="shared" si="12"/>
        <v>0</v>
      </c>
      <c r="N25" s="250">
        <f t="shared" si="14"/>
        <v>0</v>
      </c>
    </row>
    <row r="26" spans="1:14" ht="15.75">
      <c r="A26" s="189">
        <v>8</v>
      </c>
      <c r="B26" s="180" t="s">
        <v>34</v>
      </c>
      <c r="C26" s="214">
        <v>2484.9647000000004</v>
      </c>
      <c r="D26" s="214">
        <v>4165.5946000000004</v>
      </c>
      <c r="E26" s="214">
        <v>3714.5</v>
      </c>
      <c r="F26" s="214">
        <v>7425.5375333210022</v>
      </c>
      <c r="G26" s="214">
        <v>9322.817500000001</v>
      </c>
      <c r="H26" s="247">
        <f t="shared" si="13"/>
        <v>27113.414333321005</v>
      </c>
      <c r="I26" s="214">
        <f t="shared" si="8"/>
        <v>2349.709201315583</v>
      </c>
      <c r="J26" s="214">
        <f t="shared" si="9"/>
        <v>3624.7882445821929</v>
      </c>
      <c r="K26" s="214">
        <f t="shared" si="10"/>
        <v>3050.3204794001758</v>
      </c>
      <c r="L26" s="214">
        <f t="shared" si="11"/>
        <v>5621.0963793926476</v>
      </c>
      <c r="M26" s="214">
        <f t="shared" si="12"/>
        <v>6534.9379675801429</v>
      </c>
      <c r="N26" s="250">
        <f t="shared" si="14"/>
        <v>21180.852272270742</v>
      </c>
    </row>
    <row r="27" spans="1:14" ht="15.75">
      <c r="A27" s="189">
        <v>9</v>
      </c>
      <c r="B27" s="180" t="s">
        <v>35</v>
      </c>
      <c r="C27" s="214">
        <v>543.75</v>
      </c>
      <c r="D27" s="214">
        <v>791.17</v>
      </c>
      <c r="E27" s="214">
        <v>721.26</v>
      </c>
      <c r="F27" s="214">
        <v>630.04</v>
      </c>
      <c r="G27" s="214">
        <v>924</v>
      </c>
      <c r="H27" s="247">
        <f t="shared" si="13"/>
        <v>3610.2200000000003</v>
      </c>
      <c r="I27" s="214">
        <f t="shared" si="8"/>
        <v>514.153934748187</v>
      </c>
      <c r="J27" s="214">
        <f t="shared" si="9"/>
        <v>688.45482838538658</v>
      </c>
      <c r="K27" s="214">
        <f t="shared" si="10"/>
        <v>592.29348471454318</v>
      </c>
      <c r="L27" s="214">
        <f t="shared" si="11"/>
        <v>476.93726507751336</v>
      </c>
      <c r="M27" s="214">
        <f t="shared" si="12"/>
        <v>647.68860723102762</v>
      </c>
      <c r="N27" s="250">
        <f t="shared" si="14"/>
        <v>2919.5281201566577</v>
      </c>
    </row>
    <row r="28" spans="1:14" ht="15.75">
      <c r="A28" s="189">
        <v>10</v>
      </c>
      <c r="B28" s="180" t="s">
        <v>36</v>
      </c>
      <c r="C28" s="214">
        <v>0</v>
      </c>
      <c r="D28" s="214">
        <v>0</v>
      </c>
      <c r="E28" s="214">
        <v>0</v>
      </c>
      <c r="F28" s="214">
        <v>2096.36</v>
      </c>
      <c r="G28" s="214">
        <v>4647</v>
      </c>
      <c r="H28" s="247">
        <f t="shared" si="13"/>
        <v>6743.3600000000006</v>
      </c>
      <c r="I28" s="214">
        <f t="shared" si="8"/>
        <v>0</v>
      </c>
      <c r="J28" s="214">
        <f t="shared" si="9"/>
        <v>0</v>
      </c>
      <c r="K28" s="214">
        <f t="shared" si="10"/>
        <v>0</v>
      </c>
      <c r="L28" s="214">
        <f t="shared" si="11"/>
        <v>1586.9344883148626</v>
      </c>
      <c r="M28" s="214">
        <f t="shared" si="12"/>
        <v>3257.3690019508504</v>
      </c>
      <c r="N28" s="250">
        <f t="shared" si="14"/>
        <v>4844.3034902657128</v>
      </c>
    </row>
    <row r="29" spans="1:14" ht="15.75">
      <c r="A29" s="189">
        <v>11</v>
      </c>
      <c r="B29" s="180" t="s">
        <v>37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  <c r="H29" s="247">
        <f t="shared" si="13"/>
        <v>0</v>
      </c>
      <c r="I29" s="214">
        <f t="shared" si="8"/>
        <v>0</v>
      </c>
      <c r="J29" s="214">
        <f t="shared" si="9"/>
        <v>0</v>
      </c>
      <c r="K29" s="214">
        <f t="shared" si="10"/>
        <v>0</v>
      </c>
      <c r="L29" s="214">
        <f t="shared" si="11"/>
        <v>0</v>
      </c>
      <c r="M29" s="214">
        <f t="shared" si="12"/>
        <v>0</v>
      </c>
      <c r="N29" s="250">
        <f t="shared" si="14"/>
        <v>0</v>
      </c>
    </row>
    <row r="30" spans="1:14" ht="15.75">
      <c r="A30" s="189">
        <v>12</v>
      </c>
      <c r="B30" s="180" t="s">
        <v>104</v>
      </c>
      <c r="C30" s="214">
        <v>848.56</v>
      </c>
      <c r="D30" s="214">
        <v>878.74000000000012</v>
      </c>
      <c r="E30" s="214">
        <v>1017.6800000000001</v>
      </c>
      <c r="F30" s="214">
        <v>929.29000000000019</v>
      </c>
      <c r="G30" s="214">
        <v>2000</v>
      </c>
      <c r="H30" s="247">
        <f t="shared" si="13"/>
        <v>5674.27</v>
      </c>
      <c r="I30" s="214">
        <f t="shared" si="8"/>
        <v>802.37326504813143</v>
      </c>
      <c r="J30" s="214">
        <f t="shared" si="9"/>
        <v>764.65588419097628</v>
      </c>
      <c r="K30" s="214">
        <f t="shared" si="10"/>
        <v>835.71144042965966</v>
      </c>
      <c r="L30" s="214">
        <f t="shared" si="11"/>
        <v>703.46808308025288</v>
      </c>
      <c r="M30" s="214">
        <f t="shared" si="12"/>
        <v>1401.9233922749518</v>
      </c>
      <c r="N30" s="250">
        <f t="shared" si="14"/>
        <v>4508.1320650239722</v>
      </c>
    </row>
    <row r="31" spans="1:14" ht="15.75">
      <c r="A31" s="189">
        <v>13</v>
      </c>
      <c r="B31" s="180" t="s">
        <v>39</v>
      </c>
      <c r="C31" s="214">
        <v>2165.0599999999995</v>
      </c>
      <c r="D31" s="214">
        <v>3187.2400000000002</v>
      </c>
      <c r="E31" s="214">
        <v>2101.91</v>
      </c>
      <c r="F31" s="214">
        <v>4251.3200000000006</v>
      </c>
      <c r="G31" s="214">
        <v>4716</v>
      </c>
      <c r="H31" s="247">
        <f t="shared" si="13"/>
        <v>16421.53</v>
      </c>
      <c r="I31" s="214">
        <f t="shared" si="8"/>
        <v>2047.2167686729367</v>
      </c>
      <c r="J31" s="214">
        <f t="shared" si="9"/>
        <v>2773.4504180176696</v>
      </c>
      <c r="K31" s="214">
        <f t="shared" si="10"/>
        <v>1726.0732585424748</v>
      </c>
      <c r="L31" s="214">
        <f t="shared" si="11"/>
        <v>3218.2288962118828</v>
      </c>
      <c r="M31" s="214">
        <f t="shared" si="12"/>
        <v>3305.735358984336</v>
      </c>
      <c r="N31" s="250">
        <f t="shared" si="14"/>
        <v>13070.704700429302</v>
      </c>
    </row>
    <row r="32" spans="1:14" ht="15.75">
      <c r="A32" s="189">
        <v>14</v>
      </c>
      <c r="B32" s="180" t="s">
        <v>40</v>
      </c>
      <c r="C32" s="214">
        <v>4795.0800000000017</v>
      </c>
      <c r="D32" s="214">
        <v>5021.7899999999991</v>
      </c>
      <c r="E32" s="214">
        <v>6817.1</v>
      </c>
      <c r="F32" s="214">
        <v>8250.42</v>
      </c>
      <c r="G32" s="214">
        <v>8811</v>
      </c>
      <c r="H32" s="247">
        <f t="shared" si="13"/>
        <v>33695.39</v>
      </c>
      <c r="I32" s="214">
        <f t="shared" si="8"/>
        <v>4534.0859759675168</v>
      </c>
      <c r="J32" s="214">
        <f t="shared" si="9"/>
        <v>4369.8264249623344</v>
      </c>
      <c r="K32" s="214">
        <f t="shared" si="10"/>
        <v>5598.1531135062423</v>
      </c>
      <c r="L32" s="214">
        <f t="shared" si="11"/>
        <v>6245.5284593689576</v>
      </c>
      <c r="M32" s="214">
        <f t="shared" si="12"/>
        <v>6176.1735046672993</v>
      </c>
      <c r="N32" s="250">
        <f t="shared" si="14"/>
        <v>26923.767478472349</v>
      </c>
    </row>
    <row r="33" spans="1:14" ht="15.75">
      <c r="A33" s="189">
        <v>15</v>
      </c>
      <c r="B33" s="180" t="s">
        <v>41</v>
      </c>
      <c r="C33" s="214">
        <v>-1676.25</v>
      </c>
      <c r="D33" s="214">
        <v>-3843.39</v>
      </c>
      <c r="E33" s="214">
        <v>-2343.66</v>
      </c>
      <c r="F33" s="214">
        <v>825.56000000000131</v>
      </c>
      <c r="G33" s="214">
        <v>980.84000000000015</v>
      </c>
      <c r="H33" s="247">
        <f t="shared" si="13"/>
        <v>-6056.8999999999978</v>
      </c>
      <c r="I33" s="214">
        <f t="shared" si="8"/>
        <v>-1585.0124747064797</v>
      </c>
      <c r="J33" s="214">
        <f t="shared" si="9"/>
        <v>-3344.4144783903726</v>
      </c>
      <c r="K33" s="214">
        <f t="shared" si="10"/>
        <v>-1924.5966064748998</v>
      </c>
      <c r="L33" s="214">
        <f t="shared" si="11"/>
        <v>624.94496945811784</v>
      </c>
      <c r="M33" s="214">
        <f t="shared" si="12"/>
        <v>687.53127003948191</v>
      </c>
      <c r="N33" s="250">
        <f t="shared" si="14"/>
        <v>-5541.5473200741526</v>
      </c>
    </row>
    <row r="34" spans="1:14" ht="15.75">
      <c r="A34" s="189">
        <v>16</v>
      </c>
      <c r="B34" s="180" t="s">
        <v>42</v>
      </c>
      <c r="C34" s="214">
        <v>2351.6</v>
      </c>
      <c r="D34" s="214">
        <v>2190</v>
      </c>
      <c r="E34" s="214">
        <v>4616.46</v>
      </c>
      <c r="F34" s="214">
        <v>6000</v>
      </c>
      <c r="G34" s="214">
        <v>7000</v>
      </c>
      <c r="H34" s="247">
        <f t="shared" si="13"/>
        <v>22158.06</v>
      </c>
      <c r="I34" s="214">
        <f t="shared" si="8"/>
        <v>2223.6034812944117</v>
      </c>
      <c r="J34" s="214">
        <f t="shared" si="9"/>
        <v>1905.679024942802</v>
      </c>
      <c r="K34" s="214">
        <f t="shared" si="10"/>
        <v>3791.003494503092</v>
      </c>
      <c r="L34" s="214">
        <f t="shared" si="11"/>
        <v>4541.9712882754748</v>
      </c>
      <c r="M34" s="214">
        <f t="shared" si="12"/>
        <v>4906.7318729623312</v>
      </c>
      <c r="N34" s="250">
        <f t="shared" si="14"/>
        <v>17368.989161978112</v>
      </c>
    </row>
    <row r="35" spans="1:14" ht="15.75">
      <c r="A35" s="189">
        <v>17</v>
      </c>
      <c r="B35" s="180" t="s">
        <v>43</v>
      </c>
      <c r="C35" s="214">
        <v>0</v>
      </c>
      <c r="D35" s="214">
        <v>0</v>
      </c>
      <c r="E35" s="214">
        <v>0</v>
      </c>
      <c r="F35" s="214">
        <v>0</v>
      </c>
      <c r="G35" s="214">
        <v>2790.87</v>
      </c>
      <c r="H35" s="247">
        <f t="shared" si="13"/>
        <v>2790.87</v>
      </c>
      <c r="I35" s="214">
        <f t="shared" si="8"/>
        <v>0</v>
      </c>
      <c r="J35" s="214">
        <f t="shared" si="9"/>
        <v>0</v>
      </c>
      <c r="K35" s="214">
        <f t="shared" si="10"/>
        <v>0</v>
      </c>
      <c r="L35" s="214">
        <f t="shared" si="11"/>
        <v>0</v>
      </c>
      <c r="M35" s="214">
        <f t="shared" si="12"/>
        <v>1956.2929688991971</v>
      </c>
      <c r="N35" s="250">
        <f t="shared" si="14"/>
        <v>1956.2929688991971</v>
      </c>
    </row>
    <row r="36" spans="1:14" ht="15.75">
      <c r="A36" s="187"/>
      <c r="B36" s="179" t="s">
        <v>139</v>
      </c>
      <c r="C36" s="216">
        <f t="shared" ref="C36:M36" si="15">SUM(C19:C35)</f>
        <v>17274.4447</v>
      </c>
      <c r="D36" s="216">
        <f t="shared" si="15"/>
        <v>18899.784599999999</v>
      </c>
      <c r="E36" s="216">
        <f t="shared" si="15"/>
        <v>23591.11</v>
      </c>
      <c r="F36" s="216">
        <f t="shared" si="15"/>
        <v>35078.657533321006</v>
      </c>
      <c r="G36" s="216">
        <f t="shared" si="15"/>
        <v>52061.297500000008</v>
      </c>
      <c r="H36" s="247">
        <f t="shared" si="13"/>
        <v>146905.29433332101</v>
      </c>
      <c r="I36" s="216">
        <f t="shared" si="15"/>
        <v>16334.204529829818</v>
      </c>
      <c r="J36" s="216">
        <f t="shared" si="15"/>
        <v>16446.083601898168</v>
      </c>
      <c r="K36" s="216">
        <f t="shared" si="15"/>
        <v>19372.848556947712</v>
      </c>
      <c r="L36" s="216">
        <f t="shared" si="15"/>
        <v>26554.375891265365</v>
      </c>
      <c r="M36" s="216">
        <f t="shared" si="15"/>
        <v>36492.975398717739</v>
      </c>
      <c r="N36" s="250">
        <f t="shared" si="14"/>
        <v>115200.4879786588</v>
      </c>
    </row>
    <row r="37" spans="1:14" ht="15.75">
      <c r="A37" s="187"/>
      <c r="B37" s="179" t="s">
        <v>175</v>
      </c>
      <c r="C37" s="216">
        <f>C36+C17</f>
        <v>18207.448768069666</v>
      </c>
      <c r="D37" s="216">
        <f>D36+D17</f>
        <v>19458.359716465147</v>
      </c>
      <c r="E37" s="216">
        <f>E36+E17</f>
        <v>24368.39</v>
      </c>
      <c r="F37" s="216">
        <f>F36+F17</f>
        <v>35518.810033321002</v>
      </c>
      <c r="G37" s="216">
        <f>G36+G17</f>
        <v>53168.297500000008</v>
      </c>
      <c r="H37" s="247">
        <f t="shared" ref="H37:H42" si="16">+SUM(C37:G37)</f>
        <v>150721.30601785582</v>
      </c>
      <c r="I37" s="216">
        <f>I36+I17</f>
        <v>17216.425610720089</v>
      </c>
      <c r="J37" s="216">
        <f>J36+J17</f>
        <v>16932.140626237262</v>
      </c>
      <c r="K37" s="216">
        <f>K36+K17</f>
        <v>20011.145259660909</v>
      </c>
      <c r="L37" s="216">
        <f>L36+L17</f>
        <v>26887.569227509142</v>
      </c>
      <c r="M37" s="216">
        <f>M36+M17</f>
        <v>37268.939996341927</v>
      </c>
      <c r="N37" s="250">
        <f t="shared" ref="N37:N42" si="17">+SUM(I37:M37)</f>
        <v>118316.22072046933</v>
      </c>
    </row>
    <row r="38" spans="1:14" ht="15.75">
      <c r="A38" s="417" t="s">
        <v>271</v>
      </c>
      <c r="B38" s="179" t="s">
        <v>273</v>
      </c>
      <c r="C38" s="216"/>
      <c r="D38" s="216"/>
      <c r="E38" s="216"/>
      <c r="F38" s="216"/>
      <c r="G38" s="216"/>
      <c r="H38" s="247"/>
      <c r="I38" s="216"/>
      <c r="J38" s="216"/>
      <c r="K38" s="216"/>
      <c r="L38" s="216"/>
      <c r="M38" s="216"/>
      <c r="N38" s="250"/>
    </row>
    <row r="39" spans="1:14" ht="15.75">
      <c r="A39" s="189">
        <v>1</v>
      </c>
      <c r="B39" s="180" t="s">
        <v>145</v>
      </c>
      <c r="C39" s="214">
        <v>0</v>
      </c>
      <c r="D39" s="214">
        <v>0</v>
      </c>
      <c r="E39" s="214">
        <v>0</v>
      </c>
      <c r="F39" s="214">
        <v>0</v>
      </c>
      <c r="G39" s="214">
        <v>933</v>
      </c>
      <c r="H39" s="247">
        <f t="shared" si="16"/>
        <v>933</v>
      </c>
      <c r="I39" s="214">
        <f t="shared" ref="I39:M40" si="18">+C39/C$45</f>
        <v>0</v>
      </c>
      <c r="J39" s="214">
        <f t="shared" si="18"/>
        <v>0</v>
      </c>
      <c r="K39" s="214">
        <f t="shared" si="18"/>
        <v>0</v>
      </c>
      <c r="L39" s="214">
        <f t="shared" si="18"/>
        <v>0</v>
      </c>
      <c r="M39" s="214">
        <f t="shared" si="18"/>
        <v>653.99726249626497</v>
      </c>
      <c r="N39" s="250">
        <f t="shared" si="17"/>
        <v>653.99726249626497</v>
      </c>
    </row>
    <row r="40" spans="1:14" ht="15.75">
      <c r="A40" s="189">
        <v>2</v>
      </c>
      <c r="B40" s="180" t="s">
        <v>47</v>
      </c>
      <c r="C40" s="214">
        <v>0</v>
      </c>
      <c r="D40" s="214">
        <v>0</v>
      </c>
      <c r="E40" s="214">
        <v>0</v>
      </c>
      <c r="F40" s="214">
        <v>0</v>
      </c>
      <c r="G40" s="214">
        <v>0</v>
      </c>
      <c r="H40" s="247">
        <f t="shared" si="16"/>
        <v>0</v>
      </c>
      <c r="I40" s="214">
        <f t="shared" si="18"/>
        <v>0</v>
      </c>
      <c r="J40" s="214">
        <f t="shared" si="18"/>
        <v>0</v>
      </c>
      <c r="K40" s="214">
        <f t="shared" si="18"/>
        <v>0</v>
      </c>
      <c r="L40" s="214">
        <f t="shared" si="18"/>
        <v>0</v>
      </c>
      <c r="M40" s="214">
        <f t="shared" si="18"/>
        <v>0</v>
      </c>
      <c r="N40" s="250">
        <f t="shared" si="17"/>
        <v>0</v>
      </c>
    </row>
    <row r="41" spans="1:14" ht="15.75">
      <c r="A41" s="278"/>
      <c r="B41" s="183" t="s">
        <v>146</v>
      </c>
      <c r="C41" s="216">
        <f t="shared" ref="C41:M41" si="19">C39+C40</f>
        <v>0</v>
      </c>
      <c r="D41" s="216">
        <f t="shared" si="19"/>
        <v>0</v>
      </c>
      <c r="E41" s="216">
        <f t="shared" si="19"/>
        <v>0</v>
      </c>
      <c r="F41" s="216">
        <f t="shared" si="19"/>
        <v>0</v>
      </c>
      <c r="G41" s="216">
        <f t="shared" si="19"/>
        <v>933</v>
      </c>
      <c r="H41" s="247">
        <f t="shared" si="16"/>
        <v>933</v>
      </c>
      <c r="I41" s="216">
        <f t="shared" si="19"/>
        <v>0</v>
      </c>
      <c r="J41" s="216">
        <f t="shared" si="19"/>
        <v>0</v>
      </c>
      <c r="K41" s="216">
        <f t="shared" si="19"/>
        <v>0</v>
      </c>
      <c r="L41" s="216">
        <f t="shared" si="19"/>
        <v>0</v>
      </c>
      <c r="M41" s="216">
        <f t="shared" si="19"/>
        <v>653.99726249626497</v>
      </c>
      <c r="N41" s="250">
        <f t="shared" si="17"/>
        <v>653.99726249626497</v>
      </c>
    </row>
    <row r="42" spans="1:14" s="148" customFormat="1">
      <c r="A42" s="279"/>
      <c r="B42" s="183" t="s">
        <v>147</v>
      </c>
      <c r="C42" s="216">
        <f>C36+C17+C41</f>
        <v>18207.448768069666</v>
      </c>
      <c r="D42" s="216">
        <f>D36+D17+D41</f>
        <v>19458.359716465147</v>
      </c>
      <c r="E42" s="216">
        <f>E36+E17+E41</f>
        <v>24368.39</v>
      </c>
      <c r="F42" s="216">
        <f>F36+F17+F41</f>
        <v>35518.810033321002</v>
      </c>
      <c r="G42" s="216">
        <f>G36+G17+G41</f>
        <v>54101.297500000008</v>
      </c>
      <c r="H42" s="247">
        <f t="shared" si="16"/>
        <v>151654.30601785582</v>
      </c>
      <c r="I42" s="216">
        <f>I36+I17+I41</f>
        <v>17216.425610720089</v>
      </c>
      <c r="J42" s="216">
        <f>J36+J17+J41</f>
        <v>16932.140626237262</v>
      </c>
      <c r="K42" s="216">
        <f>K36+K17+K41</f>
        <v>20011.145259660909</v>
      </c>
      <c r="L42" s="216">
        <f>L36+L17+L41</f>
        <v>26887.569227509142</v>
      </c>
      <c r="M42" s="216">
        <f>M36+M17+M41</f>
        <v>37922.937258838196</v>
      </c>
      <c r="N42" s="250">
        <f t="shared" si="17"/>
        <v>118970.21798296559</v>
      </c>
    </row>
    <row r="43" spans="1:14">
      <c r="A43" s="147"/>
      <c r="B43" s="545" t="s">
        <v>181</v>
      </c>
      <c r="C43" s="545"/>
      <c r="D43" s="545"/>
      <c r="E43" s="545"/>
      <c r="F43" s="545"/>
      <c r="G43" s="545"/>
      <c r="H43" s="545"/>
      <c r="I43" s="545"/>
      <c r="J43" s="545"/>
      <c r="K43" s="545"/>
    </row>
    <row r="44" spans="1:14" ht="15.75">
      <c r="C44" s="174" t="s">
        <v>55</v>
      </c>
      <c r="D44" s="174" t="s">
        <v>56</v>
      </c>
      <c r="E44" s="174" t="s">
        <v>7</v>
      </c>
      <c r="F44" s="174" t="s">
        <v>8</v>
      </c>
      <c r="G44" s="175" t="s">
        <v>9</v>
      </c>
      <c r="H44" s="175"/>
      <c r="I44" s="146"/>
      <c r="J44" s="146"/>
      <c r="K44" s="146"/>
      <c r="L44" s="146"/>
      <c r="M44" s="146"/>
    </row>
    <row r="45" spans="1:14">
      <c r="B45" s="148" t="s">
        <v>162</v>
      </c>
      <c r="C45" s="185">
        <v>1.0575626543951435</v>
      </c>
      <c r="D45" s="185">
        <v>1.1491966754819751</v>
      </c>
      <c r="E45" s="185">
        <v>1.2177408980745625</v>
      </c>
      <c r="F45" s="185">
        <v>1.321012313637526</v>
      </c>
      <c r="G45" s="185">
        <v>1.426611476076826</v>
      </c>
      <c r="H45" s="185"/>
    </row>
  </sheetData>
  <mergeCells count="6">
    <mergeCell ref="A1:M1"/>
    <mergeCell ref="B43:K43"/>
    <mergeCell ref="B2:B4"/>
    <mergeCell ref="A2:A4"/>
    <mergeCell ref="C2:H2"/>
    <mergeCell ref="I2:N2"/>
  </mergeCells>
  <phoneticPr fontId="63" type="noConversion"/>
  <printOptions horizontalCentered="1"/>
  <pageMargins left="0.23622047244094491" right="0.27559055118110237" top="0.78740157480314965" bottom="0.39370078740157483" header="0" footer="0"/>
  <pageSetup scale="73" orientation="landscape" horizont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I39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4" sqref="H4:H5"/>
    </sheetView>
  </sheetViews>
  <sheetFormatPr defaultRowHeight="12.75"/>
  <cols>
    <col min="1" max="1" width="4.42578125" style="304" customWidth="1"/>
    <col min="2" max="2" width="35.7109375" style="307" customWidth="1"/>
    <col min="3" max="8" width="14.7109375" style="307" customWidth="1"/>
    <col min="9" max="16384" width="9.140625" style="307"/>
  </cols>
  <sheetData>
    <row r="1" spans="1:9">
      <c r="B1" s="291"/>
      <c r="C1" s="305"/>
      <c r="D1" s="306"/>
      <c r="F1" s="308"/>
      <c r="G1" s="305"/>
      <c r="H1" s="308"/>
    </row>
    <row r="2" spans="1:9" ht="18">
      <c r="A2" s="559" t="s">
        <v>236</v>
      </c>
      <c r="B2" s="559"/>
      <c r="C2" s="559"/>
      <c r="D2" s="559"/>
      <c r="E2" s="559"/>
      <c r="F2" s="559"/>
      <c r="G2" s="559"/>
      <c r="H2" s="559"/>
      <c r="I2" s="559"/>
    </row>
    <row r="3" spans="1:9" ht="18.75" thickBot="1">
      <c r="A3" s="309"/>
      <c r="B3" s="310">
        <v>41101</v>
      </c>
      <c r="C3" s="309"/>
      <c r="D3" s="309"/>
      <c r="E3" s="309"/>
      <c r="F3" s="309"/>
      <c r="G3" s="309"/>
      <c r="H3" s="308" t="s">
        <v>207</v>
      </c>
      <c r="I3" s="309"/>
    </row>
    <row r="4" spans="1:9" s="312" customFormat="1" ht="14.25">
      <c r="A4" s="564" t="s">
        <v>99</v>
      </c>
      <c r="B4" s="562" t="s">
        <v>208</v>
      </c>
      <c r="C4" s="566" t="s">
        <v>55</v>
      </c>
      <c r="D4" s="560" t="s">
        <v>56</v>
      </c>
      <c r="E4" s="560" t="s">
        <v>7</v>
      </c>
      <c r="F4" s="560" t="s">
        <v>8</v>
      </c>
      <c r="G4" s="562" t="s">
        <v>209</v>
      </c>
      <c r="H4" s="562" t="s">
        <v>210</v>
      </c>
      <c r="I4" s="311"/>
    </row>
    <row r="5" spans="1:9" s="314" customFormat="1" ht="21.75" customHeight="1">
      <c r="A5" s="565"/>
      <c r="B5" s="563"/>
      <c r="C5" s="567"/>
      <c r="D5" s="561"/>
      <c r="E5" s="561"/>
      <c r="F5" s="561"/>
      <c r="G5" s="563"/>
      <c r="H5" s="563"/>
      <c r="I5" s="313"/>
    </row>
    <row r="6" spans="1:9" s="317" customFormat="1" ht="21" customHeight="1">
      <c r="A6" s="315">
        <v>1</v>
      </c>
      <c r="B6" s="316" t="s">
        <v>211</v>
      </c>
      <c r="C6" s="292">
        <v>151800</v>
      </c>
      <c r="D6" s="292">
        <v>160179</v>
      </c>
      <c r="E6" s="292">
        <v>164832</v>
      </c>
      <c r="F6" s="292">
        <v>219303</v>
      </c>
      <c r="G6" s="292">
        <v>255414</v>
      </c>
      <c r="H6" s="292">
        <v>301921</v>
      </c>
      <c r="I6" s="574" t="s">
        <v>212</v>
      </c>
    </row>
    <row r="7" spans="1:9" s="317" customFormat="1" ht="15">
      <c r="A7" s="315"/>
      <c r="B7" s="316"/>
      <c r="C7" s="292"/>
      <c r="D7" s="292"/>
      <c r="E7" s="292"/>
      <c r="F7" s="292"/>
      <c r="G7" s="318"/>
      <c r="H7" s="292"/>
      <c r="I7" s="575"/>
    </row>
    <row r="8" spans="1:9" s="317" customFormat="1" ht="15">
      <c r="A8" s="315">
        <v>2</v>
      </c>
      <c r="B8" s="316" t="s">
        <v>213</v>
      </c>
      <c r="C8" s="292">
        <f t="shared" ref="C8:H8" si="0">+C9+C10</f>
        <v>35855</v>
      </c>
      <c r="D8" s="292">
        <f t="shared" si="0"/>
        <v>38247</v>
      </c>
      <c r="E8" s="292">
        <f t="shared" si="0"/>
        <v>46029</v>
      </c>
      <c r="F8" s="292">
        <f t="shared" si="0"/>
        <v>49875</v>
      </c>
      <c r="G8" s="292">
        <f t="shared" si="0"/>
        <v>55397</v>
      </c>
      <c r="H8" s="292">
        <f t="shared" si="0"/>
        <v>64296</v>
      </c>
      <c r="I8" s="575"/>
    </row>
    <row r="9" spans="1:9" s="323" customFormat="1" ht="15">
      <c r="A9" s="319"/>
      <c r="B9" s="320" t="s">
        <v>214</v>
      </c>
      <c r="C9" s="293">
        <v>35769</v>
      </c>
      <c r="D9" s="293">
        <v>38161</v>
      </c>
      <c r="E9" s="293">
        <v>45946</v>
      </c>
      <c r="F9" s="293">
        <v>49790</v>
      </c>
      <c r="G9" s="321">
        <v>55322</v>
      </c>
      <c r="H9" s="322">
        <v>64211</v>
      </c>
      <c r="I9" s="575"/>
    </row>
    <row r="10" spans="1:9" s="323" customFormat="1" ht="15">
      <c r="A10" s="319"/>
      <c r="B10" s="320" t="s">
        <v>215</v>
      </c>
      <c r="C10" s="293">
        <v>86</v>
      </c>
      <c r="D10" s="293">
        <v>86</v>
      </c>
      <c r="E10" s="293">
        <v>83</v>
      </c>
      <c r="F10" s="293">
        <v>85</v>
      </c>
      <c r="G10" s="321">
        <v>75</v>
      </c>
      <c r="H10" s="322">
        <v>85</v>
      </c>
      <c r="I10" s="575"/>
    </row>
    <row r="11" spans="1:9" s="323" customFormat="1" ht="15">
      <c r="A11" s="319"/>
      <c r="B11" s="320"/>
      <c r="C11" s="293"/>
      <c r="D11" s="293"/>
      <c r="E11" s="293"/>
      <c r="F11" s="293"/>
      <c r="G11" s="321"/>
      <c r="H11" s="322"/>
      <c r="I11" s="575"/>
    </row>
    <row r="12" spans="1:9" s="317" customFormat="1" ht="30" customHeight="1">
      <c r="A12" s="315">
        <v>3</v>
      </c>
      <c r="B12" s="316" t="s">
        <v>216</v>
      </c>
      <c r="C12" s="292">
        <v>56364</v>
      </c>
      <c r="D12" s="292">
        <v>69063</v>
      </c>
      <c r="E12" s="292">
        <f>+E13+E14</f>
        <v>80367</v>
      </c>
      <c r="F12" s="292">
        <f>+F13+F14</f>
        <v>89403</v>
      </c>
      <c r="G12" s="292">
        <f>+G13+G14</f>
        <v>99208</v>
      </c>
      <c r="H12" s="292">
        <f>+H13+H14</f>
        <v>122014</v>
      </c>
      <c r="I12" s="575"/>
    </row>
    <row r="13" spans="1:9" s="323" customFormat="1" ht="15">
      <c r="A13" s="319"/>
      <c r="B13" s="320" t="s">
        <v>217</v>
      </c>
      <c r="C13" s="293">
        <v>49943</v>
      </c>
      <c r="D13" s="293">
        <v>62034</v>
      </c>
      <c r="E13" s="293">
        <v>72543</v>
      </c>
      <c r="F13" s="293">
        <v>79189</v>
      </c>
      <c r="G13" s="321">
        <v>89208</v>
      </c>
      <c r="H13" s="322">
        <v>111014</v>
      </c>
      <c r="I13" s="575"/>
    </row>
    <row r="14" spans="1:9" s="323" customFormat="1" ht="15">
      <c r="A14" s="319"/>
      <c r="B14" s="320" t="s">
        <v>218</v>
      </c>
      <c r="C14" s="293">
        <v>6421</v>
      </c>
      <c r="D14" s="293">
        <v>7029</v>
      </c>
      <c r="E14" s="293">
        <v>7824</v>
      </c>
      <c r="F14" s="293">
        <v>10214</v>
      </c>
      <c r="G14" s="321">
        <v>10000</v>
      </c>
      <c r="H14" s="322">
        <v>11000</v>
      </c>
      <c r="I14" s="575"/>
    </row>
    <row r="15" spans="1:9" ht="15">
      <c r="A15" s="324"/>
      <c r="B15" s="325" t="s">
        <v>219</v>
      </c>
      <c r="C15" s="294"/>
      <c r="D15" s="294"/>
      <c r="E15" s="294"/>
      <c r="F15" s="294"/>
      <c r="G15" s="295"/>
      <c r="H15" s="296"/>
      <c r="I15" s="297"/>
    </row>
    <row r="16" spans="1:9" ht="23.25" customHeight="1">
      <c r="A16" s="568" t="s">
        <v>220</v>
      </c>
      <c r="B16" s="326" t="s">
        <v>221</v>
      </c>
      <c r="C16" s="327">
        <v>14462.01</v>
      </c>
      <c r="D16" s="327">
        <v>15948.17</v>
      </c>
      <c r="E16" s="327">
        <v>17442.05</v>
      </c>
      <c r="F16" s="327">
        <v>20007.669999999998</v>
      </c>
      <c r="G16" s="327">
        <v>21831.77</v>
      </c>
      <c r="H16" s="327">
        <v>25589</v>
      </c>
      <c r="I16" s="572" t="s">
        <v>222</v>
      </c>
    </row>
    <row r="17" spans="1:9" ht="15">
      <c r="A17" s="568"/>
      <c r="B17" s="326" t="s">
        <v>223</v>
      </c>
      <c r="C17" s="327">
        <v>2637</v>
      </c>
      <c r="D17" s="327">
        <v>4705.1400000000003</v>
      </c>
      <c r="E17" s="327">
        <v>9219.73</v>
      </c>
      <c r="F17" s="327">
        <v>7085.52</v>
      </c>
      <c r="G17" s="327">
        <v>5500</v>
      </c>
      <c r="H17" s="327">
        <v>6005</v>
      </c>
      <c r="I17" s="573"/>
    </row>
    <row r="18" spans="1:9" ht="21" customHeight="1">
      <c r="A18" s="568"/>
      <c r="B18" s="326" t="s">
        <v>224</v>
      </c>
      <c r="C18" s="327">
        <v>0</v>
      </c>
      <c r="D18" s="327">
        <v>0</v>
      </c>
      <c r="E18" s="327">
        <v>0</v>
      </c>
      <c r="F18" s="327">
        <v>3917</v>
      </c>
      <c r="G18" s="327">
        <v>8370</v>
      </c>
      <c r="H18" s="327">
        <v>9571</v>
      </c>
      <c r="I18" s="573"/>
    </row>
    <row r="19" spans="1:9" ht="20.25" customHeight="1">
      <c r="A19" s="568"/>
      <c r="B19" s="326" t="s">
        <v>225</v>
      </c>
      <c r="C19" s="327">
        <v>0</v>
      </c>
      <c r="D19" s="327">
        <v>1443.4</v>
      </c>
      <c r="E19" s="327">
        <v>4157.74</v>
      </c>
      <c r="F19" s="327">
        <v>1664.34</v>
      </c>
      <c r="G19" s="327">
        <v>1400</v>
      </c>
      <c r="H19" s="327">
        <v>1261</v>
      </c>
      <c r="I19" s="573"/>
    </row>
    <row r="20" spans="1:9" ht="15">
      <c r="A20" s="568"/>
      <c r="B20" s="326" t="s">
        <v>226</v>
      </c>
      <c r="C20" s="327">
        <f>47127.04-C16-C17-C18-C19</f>
        <v>30028.03</v>
      </c>
      <c r="D20" s="327">
        <f>73611.24-D16-D17-D18-D19</f>
        <v>51514.530000000006</v>
      </c>
      <c r="E20" s="327">
        <f>79157.2-E16-E17-E18-E19</f>
        <v>48337.68</v>
      </c>
      <c r="F20" s="327">
        <f>89747.68-F16-F17-F18-F19</f>
        <v>57073.149999999994</v>
      </c>
      <c r="G20" s="327">
        <f>101105.03-G16-G17-G18-G19</f>
        <v>64003.259999999995</v>
      </c>
      <c r="H20" s="328">
        <f>124249-H16-H17-H18-H19</f>
        <v>81823</v>
      </c>
      <c r="I20" s="573"/>
    </row>
    <row r="21" spans="1:9" ht="15">
      <c r="A21" s="329"/>
      <c r="B21" s="330"/>
      <c r="C21" s="298"/>
      <c r="D21" s="298"/>
      <c r="E21" s="331"/>
      <c r="F21" s="331"/>
      <c r="G21" s="299"/>
      <c r="H21" s="332"/>
      <c r="I21" s="302"/>
    </row>
    <row r="22" spans="1:9" s="317" customFormat="1" ht="25.5">
      <c r="A22" s="315">
        <v>4</v>
      </c>
      <c r="B22" s="316" t="s">
        <v>227</v>
      </c>
      <c r="C22" s="292">
        <v>22863</v>
      </c>
      <c r="D22" s="300">
        <v>23967</v>
      </c>
      <c r="E22" s="292">
        <f>+E23+E24</f>
        <v>24475</v>
      </c>
      <c r="F22" s="292">
        <f>+F23+F24</f>
        <v>30606</v>
      </c>
      <c r="G22" s="292">
        <f>+G23+G24</f>
        <v>37126</v>
      </c>
      <c r="H22" s="292">
        <f>+H23+H24</f>
        <v>41592</v>
      </c>
      <c r="I22" s="569" t="s">
        <v>212</v>
      </c>
    </row>
    <row r="23" spans="1:9" s="323" customFormat="1" ht="15">
      <c r="A23" s="319"/>
      <c r="B23" s="320" t="s">
        <v>217</v>
      </c>
      <c r="C23" s="293">
        <v>22664</v>
      </c>
      <c r="D23" s="301">
        <v>23967</v>
      </c>
      <c r="E23" s="293">
        <v>24475</v>
      </c>
      <c r="F23" s="293">
        <v>30606</v>
      </c>
      <c r="G23" s="293">
        <v>37126</v>
      </c>
      <c r="H23" s="322">
        <v>41592</v>
      </c>
      <c r="I23" s="570"/>
    </row>
    <row r="24" spans="1:9" s="323" customFormat="1" ht="15">
      <c r="A24" s="319"/>
      <c r="B24" s="320" t="s">
        <v>218</v>
      </c>
      <c r="C24" s="293">
        <v>199</v>
      </c>
      <c r="D24" s="301">
        <v>0</v>
      </c>
      <c r="E24" s="293">
        <v>0</v>
      </c>
      <c r="F24" s="293">
        <v>0</v>
      </c>
      <c r="G24" s="293">
        <v>0</v>
      </c>
      <c r="H24" s="322">
        <v>0</v>
      </c>
      <c r="I24" s="570"/>
    </row>
    <row r="25" spans="1:9" s="323" customFormat="1" ht="15">
      <c r="A25" s="319"/>
      <c r="B25" s="320"/>
      <c r="C25" s="293"/>
      <c r="D25" s="301"/>
      <c r="E25" s="293"/>
      <c r="F25" s="293"/>
      <c r="G25" s="293"/>
      <c r="H25" s="322"/>
      <c r="I25" s="570"/>
    </row>
    <row r="26" spans="1:9" s="317" customFormat="1" ht="16.5" customHeight="1">
      <c r="A26" s="315">
        <v>5</v>
      </c>
      <c r="B26" s="316" t="s">
        <v>228</v>
      </c>
      <c r="C26" s="292">
        <f>C8+C12+C22</f>
        <v>115082</v>
      </c>
      <c r="D26" s="300">
        <f>D8+D12+D22</f>
        <v>131277</v>
      </c>
      <c r="E26" s="292">
        <f>+E27+E28</f>
        <v>150871</v>
      </c>
      <c r="F26" s="292">
        <f>+F27+F28</f>
        <v>169884</v>
      </c>
      <c r="G26" s="292">
        <f>+G27+G28</f>
        <v>191731</v>
      </c>
      <c r="H26" s="292">
        <f>+H27+H28</f>
        <v>227902</v>
      </c>
      <c r="I26" s="570"/>
    </row>
    <row r="27" spans="1:9" s="323" customFormat="1" ht="15">
      <c r="A27" s="319"/>
      <c r="B27" s="320" t="s">
        <v>217</v>
      </c>
      <c r="C27" s="293">
        <v>108377</v>
      </c>
      <c r="D27" s="301">
        <v>124159</v>
      </c>
      <c r="E27" s="293">
        <f t="shared" ref="E27:H28" si="1">+E9+E13+E23</f>
        <v>142964</v>
      </c>
      <c r="F27" s="293">
        <f t="shared" si="1"/>
        <v>159585</v>
      </c>
      <c r="G27" s="293">
        <f t="shared" si="1"/>
        <v>181656</v>
      </c>
      <c r="H27" s="293">
        <f t="shared" si="1"/>
        <v>216817</v>
      </c>
      <c r="I27" s="570"/>
    </row>
    <row r="28" spans="1:9" s="323" customFormat="1" ht="15">
      <c r="A28" s="319"/>
      <c r="B28" s="320" t="s">
        <v>218</v>
      </c>
      <c r="C28" s="293">
        <v>6706</v>
      </c>
      <c r="D28" s="301">
        <v>7115</v>
      </c>
      <c r="E28" s="293">
        <f t="shared" si="1"/>
        <v>7907</v>
      </c>
      <c r="F28" s="293">
        <f t="shared" si="1"/>
        <v>10299</v>
      </c>
      <c r="G28" s="293">
        <f t="shared" si="1"/>
        <v>10075</v>
      </c>
      <c r="H28" s="293">
        <f t="shared" si="1"/>
        <v>11085</v>
      </c>
      <c r="I28" s="570"/>
    </row>
    <row r="29" spans="1:9" s="323" customFormat="1" ht="15">
      <c r="A29" s="319"/>
      <c r="B29" s="320"/>
      <c r="C29" s="293"/>
      <c r="D29" s="301"/>
      <c r="E29" s="293"/>
      <c r="F29" s="293"/>
      <c r="G29" s="293"/>
      <c r="H29" s="322"/>
      <c r="I29" s="570"/>
    </row>
    <row r="30" spans="1:9" s="317" customFormat="1" ht="22.5" customHeight="1">
      <c r="A30" s="315">
        <v>6</v>
      </c>
      <c r="B30" s="316" t="s">
        <v>229</v>
      </c>
      <c r="C30" s="292">
        <v>3478</v>
      </c>
      <c r="D30" s="300">
        <v>2708</v>
      </c>
      <c r="E30" s="292">
        <v>5314</v>
      </c>
      <c r="F30" s="292">
        <v>8227</v>
      </c>
      <c r="G30" s="292">
        <v>8358</v>
      </c>
      <c r="H30" s="292">
        <v>8529</v>
      </c>
      <c r="I30" s="570"/>
    </row>
    <row r="31" spans="1:9" s="317" customFormat="1" ht="15">
      <c r="A31" s="315"/>
      <c r="B31" s="316"/>
      <c r="C31" s="292"/>
      <c r="D31" s="300"/>
      <c r="E31" s="292"/>
      <c r="F31" s="292"/>
      <c r="G31" s="292"/>
      <c r="H31" s="333"/>
      <c r="I31" s="570"/>
    </row>
    <row r="32" spans="1:9" s="317" customFormat="1" ht="25.5">
      <c r="A32" s="315">
        <v>7</v>
      </c>
      <c r="B32" s="316" t="s">
        <v>230</v>
      </c>
      <c r="C32" s="292">
        <v>263405</v>
      </c>
      <c r="D32" s="300">
        <v>288745</v>
      </c>
      <c r="E32" s="292">
        <f>+E6+E26-E30</f>
        <v>310389</v>
      </c>
      <c r="F32" s="292">
        <f>+F6+F26-F30</f>
        <v>380960</v>
      </c>
      <c r="G32" s="292">
        <f>+G6+G26-G30</f>
        <v>438787</v>
      </c>
      <c r="H32" s="292">
        <f>+H6+H26-H30</f>
        <v>521294</v>
      </c>
      <c r="I32" s="570"/>
    </row>
    <row r="33" spans="1:9" s="317" customFormat="1" ht="15">
      <c r="A33" s="315"/>
      <c r="B33" s="316"/>
      <c r="C33" s="292"/>
      <c r="D33" s="300"/>
      <c r="E33" s="292"/>
      <c r="F33" s="292"/>
      <c r="G33" s="292"/>
      <c r="H33" s="333"/>
      <c r="I33" s="570"/>
    </row>
    <row r="34" spans="1:9" s="317" customFormat="1" ht="15">
      <c r="A34" s="315">
        <v>8</v>
      </c>
      <c r="B34" s="316" t="s">
        <v>231</v>
      </c>
      <c r="C34" s="292">
        <f>51260+1754</f>
        <v>53014</v>
      </c>
      <c r="D34" s="300">
        <v>83224</v>
      </c>
      <c r="E34" s="292">
        <f>90521+1532</f>
        <v>92053</v>
      </c>
      <c r="F34" s="292">
        <f>118740+1533</f>
        <v>120273</v>
      </c>
      <c r="G34" s="292">
        <f>112803+2950</f>
        <v>115753</v>
      </c>
      <c r="H34" s="333">
        <f>133359+3955</f>
        <v>137314</v>
      </c>
      <c r="I34" s="571"/>
    </row>
    <row r="35" spans="1:9" ht="15">
      <c r="A35" s="334"/>
      <c r="B35" s="335"/>
      <c r="C35" s="296"/>
      <c r="D35" s="296"/>
      <c r="E35" s="296"/>
      <c r="F35" s="296"/>
      <c r="G35" s="296"/>
      <c r="H35" s="296"/>
      <c r="I35" s="302"/>
    </row>
    <row r="36" spans="1:9" s="317" customFormat="1" ht="15">
      <c r="A36" s="336">
        <v>9</v>
      </c>
      <c r="B36" s="337" t="s">
        <v>232</v>
      </c>
      <c r="C36" s="333">
        <f t="shared" ref="C36:H36" si="2">+C6+C8+C12+C22+C34</f>
        <v>319896</v>
      </c>
      <c r="D36" s="333">
        <f t="shared" si="2"/>
        <v>374680</v>
      </c>
      <c r="E36" s="333">
        <f t="shared" si="2"/>
        <v>407756</v>
      </c>
      <c r="F36" s="333">
        <f t="shared" si="2"/>
        <v>509460</v>
      </c>
      <c r="G36" s="333">
        <f t="shared" si="2"/>
        <v>562898</v>
      </c>
      <c r="H36" s="333">
        <f t="shared" si="2"/>
        <v>667137</v>
      </c>
      <c r="I36" s="303"/>
    </row>
    <row r="37" spans="1:9" ht="13.5" thickBot="1">
      <c r="A37" s="338"/>
      <c r="B37" s="339" t="s">
        <v>233</v>
      </c>
      <c r="C37" s="340"/>
      <c r="D37" s="340"/>
      <c r="E37" s="340"/>
      <c r="F37" s="340"/>
      <c r="G37" s="340"/>
      <c r="H37" s="340"/>
      <c r="I37" s="341"/>
    </row>
    <row r="38" spans="1:9">
      <c r="B38" s="307" t="s">
        <v>234</v>
      </c>
    </row>
    <row r="39" spans="1:9">
      <c r="B39" s="307" t="s">
        <v>235</v>
      </c>
    </row>
  </sheetData>
  <mergeCells count="13">
    <mergeCell ref="A16:A20"/>
    <mergeCell ref="I22:I34"/>
    <mergeCell ref="I16:I20"/>
    <mergeCell ref="I6:I14"/>
    <mergeCell ref="A2:I2"/>
    <mergeCell ref="F4:F5"/>
    <mergeCell ref="G4:G5"/>
    <mergeCell ref="H4:H5"/>
    <mergeCell ref="A4:A5"/>
    <mergeCell ref="B4:B5"/>
    <mergeCell ref="C4:C5"/>
    <mergeCell ref="D4:D5"/>
    <mergeCell ref="E4:E5"/>
  </mergeCells>
  <phoneticPr fontId="65" type="noConversion"/>
  <printOptions horizontalCentered="1"/>
  <pageMargins left="0.11811023622047245" right="0" top="0.35433070866141736" bottom="0.15748031496062992" header="0" footer="0"/>
  <pageSetup scale="90" orientation="landscape" horizontalDpi="4294967295" verticalDpi="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5"/>
  <sheetViews>
    <sheetView workbookViewId="0">
      <pane xSplit="2" ySplit="4" topLeftCell="D29" activePane="bottomRight" state="frozen"/>
      <selection pane="topRight" activeCell="C1" sqref="C1"/>
      <selection pane="bottomLeft" activeCell="A5" sqref="A5"/>
      <selection pane="bottomRight" activeCell="B31" sqref="B31"/>
    </sheetView>
  </sheetViews>
  <sheetFormatPr defaultRowHeight="12.75"/>
  <cols>
    <col min="1" max="1" width="5.42578125" style="109" customWidth="1"/>
    <col min="2" max="2" width="34.7109375" style="109" customWidth="1"/>
    <col min="3" max="4" width="11.28515625" style="109" customWidth="1"/>
    <col min="5" max="7" width="11.28515625" style="119" customWidth="1"/>
    <col min="8" max="12" width="10.42578125" style="109" customWidth="1"/>
    <col min="13" max="13" width="10.140625" style="109" customWidth="1"/>
    <col min="14" max="14" width="11.28515625" style="109" customWidth="1"/>
    <col min="15" max="16" width="11" style="109" bestFit="1" customWidth="1"/>
    <col min="17" max="16384" width="9.140625" style="109"/>
  </cols>
  <sheetData>
    <row r="1" spans="1:17" ht="27.75" customHeight="1">
      <c r="A1" s="577" t="s">
        <v>237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7" ht="33.75" customHeight="1">
      <c r="A2" s="584" t="s">
        <v>51</v>
      </c>
      <c r="B2" s="582" t="s">
        <v>312</v>
      </c>
      <c r="C2" s="586" t="s">
        <v>126</v>
      </c>
      <c r="D2" s="587"/>
      <c r="E2" s="587"/>
      <c r="F2" s="587"/>
      <c r="G2" s="588"/>
      <c r="H2" s="578" t="s">
        <v>305</v>
      </c>
      <c r="I2" s="579"/>
      <c r="J2" s="579"/>
      <c r="K2" s="579"/>
      <c r="L2" s="580"/>
      <c r="M2" s="581" t="s">
        <v>306</v>
      </c>
      <c r="N2" s="581"/>
      <c r="O2" s="581"/>
      <c r="P2" s="581"/>
      <c r="Q2" s="581"/>
    </row>
    <row r="3" spans="1:17" ht="27.75" customHeight="1">
      <c r="A3" s="585"/>
      <c r="B3" s="583"/>
      <c r="C3" s="110" t="s">
        <v>55</v>
      </c>
      <c r="D3" s="110" t="s">
        <v>56</v>
      </c>
      <c r="E3" s="133" t="s">
        <v>7</v>
      </c>
      <c r="F3" s="133" t="s">
        <v>8</v>
      </c>
      <c r="G3" s="133" t="s">
        <v>9</v>
      </c>
      <c r="H3" s="110" t="s">
        <v>55</v>
      </c>
      <c r="I3" s="110" t="s">
        <v>56</v>
      </c>
      <c r="J3" s="110" t="s">
        <v>7</v>
      </c>
      <c r="K3" s="110" t="s">
        <v>8</v>
      </c>
      <c r="L3" s="110" t="s">
        <v>9</v>
      </c>
      <c r="M3" s="431" t="s">
        <v>55</v>
      </c>
      <c r="N3" s="431" t="s">
        <v>56</v>
      </c>
      <c r="O3" s="431" t="s">
        <v>7</v>
      </c>
      <c r="P3" s="431" t="s">
        <v>8</v>
      </c>
      <c r="Q3" s="432" t="s">
        <v>9</v>
      </c>
    </row>
    <row r="4" spans="1:17" s="111" customFormat="1" ht="18.75" customHeight="1">
      <c r="A4" s="144"/>
      <c r="B4" s="418">
        <v>41129</v>
      </c>
      <c r="C4" s="110" t="s">
        <v>10</v>
      </c>
      <c r="D4" s="110" t="s">
        <v>10</v>
      </c>
      <c r="E4" s="133" t="s">
        <v>10</v>
      </c>
      <c r="F4" s="131" t="s">
        <v>11</v>
      </c>
      <c r="G4" s="131" t="s">
        <v>12</v>
      </c>
      <c r="H4" s="132"/>
      <c r="I4" s="132"/>
      <c r="J4" s="132"/>
      <c r="K4" s="132"/>
      <c r="L4" s="132"/>
      <c r="M4" s="430" t="s">
        <v>10</v>
      </c>
      <c r="N4" s="430" t="s">
        <v>10</v>
      </c>
      <c r="O4" s="430" t="s">
        <v>10</v>
      </c>
      <c r="P4" s="430" t="s">
        <v>58</v>
      </c>
      <c r="Q4" s="430" t="s">
        <v>12</v>
      </c>
    </row>
    <row r="5" spans="1:17" ht="17.25" customHeight="1">
      <c r="A5" s="112"/>
      <c r="B5" s="113" t="s">
        <v>13</v>
      </c>
      <c r="C5" s="113"/>
      <c r="D5" s="113"/>
      <c r="E5" s="218"/>
      <c r="F5" s="218"/>
      <c r="G5" s="218"/>
      <c r="H5" s="113"/>
      <c r="I5" s="113"/>
      <c r="J5" s="113"/>
      <c r="K5" s="113"/>
      <c r="L5" s="113"/>
      <c r="M5" s="433"/>
      <c r="N5" s="433"/>
      <c r="O5" s="433"/>
      <c r="P5" s="434"/>
      <c r="Q5" s="434"/>
    </row>
    <row r="6" spans="1:17" ht="17.25" customHeight="1">
      <c r="A6" s="115">
        <v>1</v>
      </c>
      <c r="B6" s="112" t="s">
        <v>59</v>
      </c>
      <c r="C6" s="141">
        <v>98.06</v>
      </c>
      <c r="D6" s="141">
        <v>136.19</v>
      </c>
      <c r="E6" s="135">
        <v>173.4</v>
      </c>
      <c r="F6" s="135">
        <v>214.96</v>
      </c>
      <c r="G6" s="135">
        <v>251.1</v>
      </c>
      <c r="H6" s="134">
        <f ca="1">+'Aggregate As% of GSDP'!I6</f>
        <v>4810</v>
      </c>
      <c r="I6" s="134">
        <f ca="1">+'Aggregate As% of GSDP'!J6</f>
        <v>5687</v>
      </c>
      <c r="J6" s="134">
        <f ca="1">+'Aggregate As% of GSDP'!K6</f>
        <v>7085</v>
      </c>
      <c r="K6" s="134">
        <f ca="1">+'Aggregate As% of GSDP'!L6</f>
        <v>8233</v>
      </c>
      <c r="L6" s="134">
        <f ca="1">+'Aggregate As% of GSDP'!M6</f>
        <v>9357</v>
      </c>
      <c r="M6" s="433">
        <f>+C6/H6*100</f>
        <v>2.0386694386694391</v>
      </c>
      <c r="N6" s="433">
        <f>+D6/I6*100</f>
        <v>2.3947599788992435</v>
      </c>
      <c r="O6" s="433">
        <f>+E6/J6*100</f>
        <v>2.4474241354975299</v>
      </c>
      <c r="P6" s="433">
        <f>+F6/K6*100</f>
        <v>2.6109559091461194</v>
      </c>
      <c r="Q6" s="433">
        <f>+G6/L6*100</f>
        <v>2.6835524206476431</v>
      </c>
    </row>
    <row r="7" spans="1:17" ht="17.25" customHeight="1">
      <c r="A7" s="115">
        <v>2</v>
      </c>
      <c r="B7" s="112" t="s">
        <v>15</v>
      </c>
      <c r="C7" s="141">
        <v>3358.72</v>
      </c>
      <c r="D7" s="141">
        <v>4149.9799999999996</v>
      </c>
      <c r="E7" s="135">
        <v>4028.26</v>
      </c>
      <c r="F7" s="135">
        <v>5929.82</v>
      </c>
      <c r="G7" s="135">
        <v>6144.05</v>
      </c>
      <c r="H7" s="134">
        <f ca="1">+'Aggregate As% of GSDP'!I7</f>
        <v>71076</v>
      </c>
      <c r="I7" s="134">
        <f ca="1">+'Aggregate As% of GSDP'!J7</f>
        <v>81074</v>
      </c>
      <c r="J7" s="134">
        <f ca="1">+'Aggregate As% of GSDP'!K7</f>
        <v>92737</v>
      </c>
      <c r="K7" s="134">
        <f ca="1">+'Aggregate As% of GSDP'!L7</f>
        <v>104015</v>
      </c>
      <c r="L7" s="134">
        <f ca="1">+'Aggregate As% of GSDP'!M7</f>
        <v>115408</v>
      </c>
      <c r="M7" s="433">
        <f t="shared" ref="M7:Q17" si="0">+C7/H7*100</f>
        <v>4.7255332320333157</v>
      </c>
      <c r="N7" s="433">
        <f t="shared" si="0"/>
        <v>5.1187557046648733</v>
      </c>
      <c r="O7" s="433">
        <f t="shared" si="0"/>
        <v>4.3437462932809989</v>
      </c>
      <c r="P7" s="433">
        <f t="shared" si="0"/>
        <v>5.7009277508051719</v>
      </c>
      <c r="Q7" s="433">
        <f t="shared" si="0"/>
        <v>5.32376438375156</v>
      </c>
    </row>
    <row r="8" spans="1:17" ht="17.25" customHeight="1">
      <c r="A8" s="115">
        <v>3</v>
      </c>
      <c r="B8" s="112" t="s">
        <v>16</v>
      </c>
      <c r="C8" s="141">
        <v>1958.15</v>
      </c>
      <c r="D8" s="141">
        <v>2242.4899999999998</v>
      </c>
      <c r="E8" s="135">
        <v>2574.5300000000002</v>
      </c>
      <c r="F8" s="135">
        <v>3642.38</v>
      </c>
      <c r="G8" s="135">
        <v>4039.82</v>
      </c>
      <c r="H8" s="134">
        <f ca="1">+'Aggregate As% of GSDP'!I8</f>
        <v>33963</v>
      </c>
      <c r="I8" s="134">
        <f ca="1">+'Aggregate As% of GSDP'!J8</f>
        <v>41483</v>
      </c>
      <c r="J8" s="134">
        <f ca="1">+'Aggregate As% of GSDP'!K8</f>
        <v>48189</v>
      </c>
      <c r="K8" s="134">
        <f ca="1">+'Aggregate As% of GSDP'!L8</f>
        <v>56119</v>
      </c>
      <c r="L8" s="134">
        <f ca="1">+'Aggregate As% of GSDP'!M8</f>
        <v>63331</v>
      </c>
      <c r="M8" s="433">
        <f t="shared" si="0"/>
        <v>5.7655389688778964</v>
      </c>
      <c r="N8" s="433">
        <f t="shared" si="0"/>
        <v>5.4058047875033139</v>
      </c>
      <c r="O8" s="433">
        <f t="shared" si="0"/>
        <v>5.3425678059308144</v>
      </c>
      <c r="P8" s="433">
        <f t="shared" si="0"/>
        <v>6.4904577772234004</v>
      </c>
      <c r="Q8" s="433">
        <f t="shared" si="0"/>
        <v>6.3788981699325769</v>
      </c>
    </row>
    <row r="9" spans="1:17" ht="17.25" customHeight="1">
      <c r="A9" s="115">
        <v>4</v>
      </c>
      <c r="B9" s="112" t="s">
        <v>60</v>
      </c>
      <c r="C9" s="141">
        <v>2558.8000000000002</v>
      </c>
      <c r="D9" s="141">
        <v>2683.46</v>
      </c>
      <c r="E9" s="135">
        <v>3027</v>
      </c>
      <c r="F9" s="135">
        <v>3482.58</v>
      </c>
      <c r="G9" s="135">
        <v>4183</v>
      </c>
      <c r="H9" s="134">
        <f ca="1">+'Aggregate As% of GSDP'!I9</f>
        <v>37099</v>
      </c>
      <c r="I9" s="134">
        <f ca="1">+'Aggregate As% of GSDP'!J9</f>
        <v>42315</v>
      </c>
      <c r="J9" s="134">
        <f ca="1">+'Aggregate As% of GSDP'!K9</f>
        <v>48382</v>
      </c>
      <c r="K9" s="134">
        <f ca="1">+'Aggregate As% of GSDP'!L9</f>
        <v>55446</v>
      </c>
      <c r="L9" s="134">
        <f ca="1">+'Aggregate As% of GSDP'!M9</f>
        <v>63589</v>
      </c>
      <c r="M9" s="433">
        <f t="shared" si="0"/>
        <v>6.897220949351734</v>
      </c>
      <c r="N9" s="433">
        <f t="shared" si="0"/>
        <v>6.341628264208909</v>
      </c>
      <c r="O9" s="433">
        <f t="shared" si="0"/>
        <v>6.2564590136827745</v>
      </c>
      <c r="P9" s="433">
        <f t="shared" si="0"/>
        <v>6.2810301915377122</v>
      </c>
      <c r="Q9" s="433">
        <f t="shared" si="0"/>
        <v>6.5781817609963991</v>
      </c>
    </row>
    <row r="10" spans="1:17" ht="17.25" customHeight="1">
      <c r="A10" s="115">
        <v>5</v>
      </c>
      <c r="B10" s="112" t="s">
        <v>18</v>
      </c>
      <c r="C10" s="141">
        <v>147.44999999999999</v>
      </c>
      <c r="D10" s="141">
        <v>170.06</v>
      </c>
      <c r="E10" s="135">
        <v>196.03</v>
      </c>
      <c r="F10" s="135">
        <v>267.06</v>
      </c>
      <c r="G10" s="135">
        <v>317.83999999999997</v>
      </c>
      <c r="H10" s="134">
        <f ca="1">+'Aggregate As% of GSDP'!I10</f>
        <v>6783</v>
      </c>
      <c r="I10" s="134">
        <f ca="1">+'Aggregate As% of GSDP'!J10</f>
        <v>7399</v>
      </c>
      <c r="J10" s="134">
        <f ca="1">+'Aggregate As% of GSDP'!K10</f>
        <v>8314</v>
      </c>
      <c r="K10" s="134">
        <f ca="1">+'Aggregate As% of GSDP'!L10</f>
        <v>9198</v>
      </c>
      <c r="L10" s="134">
        <f ca="1">+'Aggregate As% of GSDP'!M10</f>
        <v>10188</v>
      </c>
      <c r="M10" s="433">
        <f t="shared" si="0"/>
        <v>2.1738168951791241</v>
      </c>
      <c r="N10" s="433">
        <f t="shared" si="0"/>
        <v>2.2984187052304366</v>
      </c>
      <c r="O10" s="433">
        <f t="shared" si="0"/>
        <v>2.3578301659850855</v>
      </c>
      <c r="P10" s="433">
        <f t="shared" si="0"/>
        <v>2.9034572733202872</v>
      </c>
      <c r="Q10" s="433">
        <f t="shared" si="0"/>
        <v>3.1197487239890065</v>
      </c>
    </row>
    <row r="11" spans="1:17" ht="17.25" customHeight="1">
      <c r="A11" s="115">
        <v>6</v>
      </c>
      <c r="B11" s="112" t="s">
        <v>19</v>
      </c>
      <c r="C11" s="141">
        <v>319.10000000000002</v>
      </c>
      <c r="D11" s="141">
        <v>369.44</v>
      </c>
      <c r="E11" s="135">
        <v>444.29</v>
      </c>
      <c r="F11" s="135">
        <v>571.45000000000005</v>
      </c>
      <c r="G11" s="135">
        <v>588.38</v>
      </c>
      <c r="H11" s="134">
        <f ca="1">+'Aggregate As% of GSDP'!I11</f>
        <v>9735</v>
      </c>
      <c r="I11" s="134">
        <f ca="1">+'Aggregate As% of GSDP'!J11</f>
        <v>11617</v>
      </c>
      <c r="J11" s="134">
        <f ca="1">+'Aggregate As% of GSDP'!K11</f>
        <v>12709</v>
      </c>
      <c r="K11" s="134">
        <f ca="1">+'Aggregate As% of GSDP'!L11</f>
        <v>14086</v>
      </c>
      <c r="L11" s="134">
        <f ca="1">+'Aggregate As% of GSDP'!M11</f>
        <v>15895</v>
      </c>
      <c r="M11" s="433">
        <f t="shared" si="0"/>
        <v>3.277863379558295</v>
      </c>
      <c r="N11" s="433">
        <f t="shared" si="0"/>
        <v>3.1801669966428512</v>
      </c>
      <c r="O11" s="433">
        <f t="shared" si="0"/>
        <v>3.4958690691635854</v>
      </c>
      <c r="P11" s="433">
        <f t="shared" si="0"/>
        <v>4.0568649723129351</v>
      </c>
      <c r="Q11" s="433">
        <f t="shared" si="0"/>
        <v>3.7016671909405474</v>
      </c>
    </row>
    <row r="12" spans="1:17" s="119" customFormat="1" ht="17.25" customHeight="1">
      <c r="A12" s="117">
        <v>7</v>
      </c>
      <c r="B12" s="118" t="s">
        <v>20</v>
      </c>
      <c r="C12" s="135">
        <v>77.52</v>
      </c>
      <c r="D12" s="135">
        <v>94.61</v>
      </c>
      <c r="E12" s="135">
        <v>107.58</v>
      </c>
      <c r="F12" s="135">
        <v>130.06</v>
      </c>
      <c r="G12" s="135">
        <v>149.79</v>
      </c>
      <c r="H12" s="134">
        <f ca="1">+'Aggregate As% of GSDP'!I12</f>
        <v>3816</v>
      </c>
      <c r="I12" s="134">
        <f ca="1">+'Aggregate As% of GSDP'!J12</f>
        <v>4577</v>
      </c>
      <c r="J12" s="134">
        <f ca="1">+'Aggregate As% of GSDP'!K12</f>
        <v>5260</v>
      </c>
      <c r="K12" s="134">
        <f ca="1">+'Aggregate As% of GSDP'!L12</f>
        <v>6058</v>
      </c>
      <c r="L12" s="134">
        <f ca="1">+'Aggregate As% of GSDP'!M12</f>
        <v>6666.8290000000006</v>
      </c>
      <c r="M12" s="433">
        <f t="shared" si="0"/>
        <v>2.0314465408805034</v>
      </c>
      <c r="N12" s="433">
        <f t="shared" si="0"/>
        <v>2.0670745029495303</v>
      </c>
      <c r="O12" s="433">
        <f t="shared" si="0"/>
        <v>2.0452471482889734</v>
      </c>
      <c r="P12" s="433">
        <f t="shared" si="0"/>
        <v>2.1469131726642456</v>
      </c>
      <c r="Q12" s="433">
        <f t="shared" si="0"/>
        <v>2.2467952905346751</v>
      </c>
    </row>
    <row r="13" spans="1:17" ht="17.25" customHeight="1">
      <c r="A13" s="115">
        <v>8</v>
      </c>
      <c r="B13" s="112" t="s">
        <v>21</v>
      </c>
      <c r="C13" s="141">
        <v>131.36000000000001</v>
      </c>
      <c r="D13" s="141">
        <v>156.02000000000001</v>
      </c>
      <c r="E13" s="135">
        <v>156.41999999999999</v>
      </c>
      <c r="F13" s="135">
        <v>214.79</v>
      </c>
      <c r="G13" s="135">
        <v>251.19</v>
      </c>
      <c r="H13" s="134">
        <f ca="1">+'Aggregate As% of GSDP'!I13</f>
        <v>8075</v>
      </c>
      <c r="I13" s="134">
        <f ca="1">+'Aggregate As% of GSDP'!J13</f>
        <v>9436</v>
      </c>
      <c r="J13" s="134">
        <f ca="1">+'Aggregate As% of GSDP'!K13</f>
        <v>10507</v>
      </c>
      <c r="K13" s="134">
        <f ca="1">+'Aggregate As% of GSDP'!L13</f>
        <v>11190</v>
      </c>
      <c r="L13" s="134">
        <f ca="1">+'Aggregate As% of GSDP'!M13</f>
        <v>12134</v>
      </c>
      <c r="M13" s="433">
        <f t="shared" si="0"/>
        <v>1.6267492260061922</v>
      </c>
      <c r="N13" s="433">
        <f t="shared" si="0"/>
        <v>1.6534548537515896</v>
      </c>
      <c r="O13" s="433">
        <f t="shared" si="0"/>
        <v>1.488721804511278</v>
      </c>
      <c r="P13" s="433">
        <f t="shared" si="0"/>
        <v>1.9194816800714924</v>
      </c>
      <c r="Q13" s="433">
        <f t="shared" si="0"/>
        <v>2.070133509147849</v>
      </c>
    </row>
    <row r="14" spans="1:17" ht="17.25" customHeight="1">
      <c r="A14" s="115">
        <v>9</v>
      </c>
      <c r="B14" s="112" t="s">
        <v>22</v>
      </c>
      <c r="C14" s="141">
        <v>197.85</v>
      </c>
      <c r="D14" s="141">
        <v>199.19</v>
      </c>
      <c r="E14" s="135">
        <v>223.65</v>
      </c>
      <c r="F14" s="135">
        <v>279.54000000000002</v>
      </c>
      <c r="G14" s="135">
        <v>269.11</v>
      </c>
      <c r="H14" s="134">
        <f ca="1">+'Aggregate As% of GSDP'!I14</f>
        <v>2506</v>
      </c>
      <c r="I14" s="134">
        <f ca="1">+'Aggregate As% of GSDP'!J14</f>
        <v>3229</v>
      </c>
      <c r="J14" s="134">
        <f ca="1">+'Aggregate As% of GSDP'!K14</f>
        <v>6133</v>
      </c>
      <c r="K14" s="134">
        <f ca="1">+'Aggregate As% of GSDP'!L14</f>
        <v>7145</v>
      </c>
      <c r="L14" s="134">
        <f ca="1">+'Aggregate As% of GSDP'!M14</f>
        <v>8400</v>
      </c>
      <c r="M14" s="433">
        <f t="shared" si="0"/>
        <v>7.8950518754988028</v>
      </c>
      <c r="N14" s="433">
        <f t="shared" si="0"/>
        <v>6.1687829049241252</v>
      </c>
      <c r="O14" s="433">
        <f t="shared" si="0"/>
        <v>3.6466655796510676</v>
      </c>
      <c r="P14" s="433">
        <f t="shared" si="0"/>
        <v>3.9123862841147661</v>
      </c>
      <c r="Q14" s="433">
        <f t="shared" si="0"/>
        <v>3.2036904761904768</v>
      </c>
    </row>
    <row r="15" spans="1:17" ht="17.25" customHeight="1">
      <c r="A15" s="115">
        <v>10</v>
      </c>
      <c r="B15" s="112" t="s">
        <v>23</v>
      </c>
      <c r="C15" s="141">
        <v>370.7</v>
      </c>
      <c r="D15" s="141">
        <v>442.5</v>
      </c>
      <c r="E15" s="135">
        <v>527.01</v>
      </c>
      <c r="F15" s="135">
        <v>622.34</v>
      </c>
      <c r="G15" s="135">
        <v>783.45</v>
      </c>
      <c r="H15" s="134">
        <f ca="1">+'Aggregate As% of GSDP'!I15</f>
        <v>11797</v>
      </c>
      <c r="I15" s="134">
        <f ca="1">+'Aggregate As% of GSDP'!J15</f>
        <v>13573</v>
      </c>
      <c r="J15" s="134">
        <f ca="1">+'Aggregate As% of GSDP'!K15</f>
        <v>15348</v>
      </c>
      <c r="K15" s="134">
        <f ca="1">+'Aggregate As% of GSDP'!L15</f>
        <v>17387</v>
      </c>
      <c r="L15" s="134">
        <f ca="1">+'Aggregate As% of GSDP'!M15</f>
        <v>19731</v>
      </c>
      <c r="M15" s="433">
        <f t="shared" si="0"/>
        <v>3.1423243197423076</v>
      </c>
      <c r="N15" s="433">
        <f t="shared" si="0"/>
        <v>3.2601488248729096</v>
      </c>
      <c r="O15" s="433">
        <f t="shared" si="0"/>
        <v>3.4337372947615323</v>
      </c>
      <c r="P15" s="433">
        <f t="shared" si="0"/>
        <v>3.5793408868695002</v>
      </c>
      <c r="Q15" s="433">
        <f t="shared" si="0"/>
        <v>3.9706553139729364</v>
      </c>
    </row>
    <row r="16" spans="1:17" ht="17.25" customHeight="1">
      <c r="A16" s="115">
        <v>11</v>
      </c>
      <c r="B16" s="112" t="s">
        <v>24</v>
      </c>
      <c r="C16" s="141">
        <v>2738.77</v>
      </c>
      <c r="D16" s="141">
        <v>3044.98</v>
      </c>
      <c r="E16" s="135">
        <v>3559.11</v>
      </c>
      <c r="F16" s="135">
        <v>4405.4799999999996</v>
      </c>
      <c r="G16" s="135">
        <v>4759.74</v>
      </c>
      <c r="H16" s="134">
        <f ca="1">+'Aggregate As% of GSDP'!I16</f>
        <v>45856</v>
      </c>
      <c r="I16" s="134">
        <f ca="1">+'Aggregate As% of GSDP'!J16</f>
        <v>56025</v>
      </c>
      <c r="J16" s="134">
        <f ca="1">+'Aggregate As% of GSDP'!K16</f>
        <v>70855</v>
      </c>
      <c r="K16" s="134">
        <f ca="1">+'Aggregate As% of GSDP'!L16</f>
        <v>82460</v>
      </c>
      <c r="L16" s="134">
        <f ca="1">+'Aggregate As% of GSDP'!M16</f>
        <v>95201</v>
      </c>
      <c r="M16" s="433">
        <f t="shared" si="0"/>
        <v>5.9725444870900208</v>
      </c>
      <c r="N16" s="433">
        <f t="shared" si="0"/>
        <v>5.4350379294957607</v>
      </c>
      <c r="O16" s="433">
        <f t="shared" si="0"/>
        <v>5.0230894079458048</v>
      </c>
      <c r="P16" s="433">
        <f t="shared" si="0"/>
        <v>5.3425660926509817</v>
      </c>
      <c r="Q16" s="433">
        <f t="shared" si="0"/>
        <v>4.9996743731683484</v>
      </c>
    </row>
    <row r="17" spans="1:17" s="111" customFormat="1" ht="17.25" customHeight="1">
      <c r="A17" s="113"/>
      <c r="B17" s="113" t="s">
        <v>25</v>
      </c>
      <c r="C17" s="280">
        <f t="shared" ref="C17:L17" si="1">SUM(C6:C16)</f>
        <v>11956.480000000003</v>
      </c>
      <c r="D17" s="280">
        <f t="shared" si="1"/>
        <v>13688.92</v>
      </c>
      <c r="E17" s="137">
        <f>SUM(E6:E16)</f>
        <v>15017.280000000002</v>
      </c>
      <c r="F17" s="137">
        <f>SUM(F6:F16)</f>
        <v>19760.46</v>
      </c>
      <c r="G17" s="137">
        <f>SUM(G6:G16)</f>
        <v>21737.47</v>
      </c>
      <c r="H17" s="137">
        <f t="shared" si="1"/>
        <v>235516</v>
      </c>
      <c r="I17" s="137">
        <f t="shared" si="1"/>
        <v>276415</v>
      </c>
      <c r="J17" s="137">
        <f t="shared" si="1"/>
        <v>325519</v>
      </c>
      <c r="K17" s="137">
        <f t="shared" si="1"/>
        <v>371337</v>
      </c>
      <c r="L17" s="137">
        <f t="shared" si="1"/>
        <v>419900.82900000003</v>
      </c>
      <c r="M17" s="435">
        <f t="shared" si="0"/>
        <v>5.0767166561932111</v>
      </c>
      <c r="N17" s="435">
        <f t="shared" si="0"/>
        <v>4.9523072192174808</v>
      </c>
      <c r="O17" s="435">
        <f t="shared" si="0"/>
        <v>4.6133343982993322</v>
      </c>
      <c r="P17" s="435">
        <f t="shared" si="0"/>
        <v>5.3214357847453932</v>
      </c>
      <c r="Q17" s="435">
        <f t="shared" si="0"/>
        <v>5.1768104511172561</v>
      </c>
    </row>
    <row r="18" spans="1:17" s="111" customFormat="1" ht="17.25" customHeight="1">
      <c r="A18" s="113"/>
      <c r="B18" s="113" t="s">
        <v>26</v>
      </c>
      <c r="C18" s="280"/>
      <c r="D18" s="280"/>
      <c r="E18" s="137"/>
      <c r="F18" s="137"/>
      <c r="G18" s="137"/>
      <c r="H18" s="137"/>
      <c r="I18" s="137"/>
      <c r="J18" s="137"/>
      <c r="K18" s="137"/>
      <c r="L18" s="137"/>
      <c r="M18" s="433"/>
      <c r="N18" s="433"/>
      <c r="O18" s="433"/>
      <c r="P18" s="433"/>
      <c r="Q18" s="433"/>
    </row>
    <row r="19" spans="1:17" ht="17.25" customHeight="1">
      <c r="A19" s="115">
        <v>12</v>
      </c>
      <c r="B19" s="112" t="s">
        <v>27</v>
      </c>
      <c r="C19" s="141">
        <v>28794</v>
      </c>
      <c r="D19" s="141">
        <v>33357.839999999997</v>
      </c>
      <c r="E19" s="135">
        <v>35175.71</v>
      </c>
      <c r="F19" s="135">
        <v>45139.55</v>
      </c>
      <c r="G19" s="135">
        <v>56438.31</v>
      </c>
      <c r="H19" s="134">
        <f ca="1">+'Aggregate As% of GSDP'!I19</f>
        <v>364813</v>
      </c>
      <c r="I19" s="134">
        <f ca="1">+'Aggregate As% of GSDP'!J19</f>
        <v>426765</v>
      </c>
      <c r="J19" s="134">
        <f ca="1">+'Aggregate As% of GSDP'!K19</f>
        <v>490411</v>
      </c>
      <c r="K19" s="134">
        <f ca="1">+'Aggregate As% of GSDP'!L19</f>
        <v>588963</v>
      </c>
      <c r="L19" s="134">
        <f ca="1">+'Aggregate As% of GSDP'!M19</f>
        <v>675798</v>
      </c>
      <c r="M19" s="433">
        <f>+C19/H19*100</f>
        <v>7.8928108373330987</v>
      </c>
      <c r="N19" s="433">
        <f>+D19/I19*100</f>
        <v>7.8164423043126776</v>
      </c>
      <c r="O19" s="433">
        <f>+E19/J19*100</f>
        <v>7.1727000413938509</v>
      </c>
      <c r="P19" s="433">
        <f>+F19/K19*100</f>
        <v>7.6642420661399786</v>
      </c>
      <c r="Q19" s="433">
        <f>+G19/L19*100</f>
        <v>8.3513579501567037</v>
      </c>
    </row>
    <row r="20" spans="1:17" ht="17.25" customHeight="1">
      <c r="A20" s="115">
        <v>13</v>
      </c>
      <c r="B20" s="112" t="s">
        <v>28</v>
      </c>
      <c r="C20" s="141">
        <v>5086.17</v>
      </c>
      <c r="D20" s="141">
        <v>6172.74</v>
      </c>
      <c r="E20" s="135">
        <v>8089.67</v>
      </c>
      <c r="F20" s="135">
        <v>9869.85</v>
      </c>
      <c r="G20" s="135">
        <v>12582.9</v>
      </c>
      <c r="H20" s="134">
        <f ca="1">+'Aggregate As% of GSDP'!I20</f>
        <v>113680</v>
      </c>
      <c r="I20" s="134">
        <f ca="1">+'Aggregate As% of GSDP'!J20</f>
        <v>142279</v>
      </c>
      <c r="J20" s="134">
        <f ca="1">+'Aggregate As% of GSDP'!K20</f>
        <v>163800</v>
      </c>
      <c r="K20" s="134">
        <f ca="1">+'Aggregate As% of GSDP'!L20</f>
        <v>201856</v>
      </c>
      <c r="L20" s="134">
        <f ca="1">+'Aggregate As% of GSDP'!M20</f>
        <v>252694</v>
      </c>
      <c r="M20" s="433">
        <f t="shared" ref="M20:Q36" si="2">+C20/H20*100</f>
        <v>4.4741115411681918</v>
      </c>
      <c r="N20" s="433">
        <f t="shared" si="2"/>
        <v>4.3384758116095838</v>
      </c>
      <c r="O20" s="433">
        <f t="shared" si="2"/>
        <v>4.9387484737484737</v>
      </c>
      <c r="P20" s="433">
        <f t="shared" si="2"/>
        <v>4.889549976220672</v>
      </c>
      <c r="Q20" s="433">
        <f t="shared" si="2"/>
        <v>4.9795008983197064</v>
      </c>
    </row>
    <row r="21" spans="1:17" ht="17.25" customHeight="1">
      <c r="A21" s="115">
        <v>14</v>
      </c>
      <c r="B21" s="112" t="s">
        <v>29</v>
      </c>
      <c r="C21" s="141">
        <v>5618.08</v>
      </c>
      <c r="D21" s="141">
        <v>6593.72</v>
      </c>
      <c r="E21" s="135">
        <v>7123.26</v>
      </c>
      <c r="F21" s="135">
        <v>9005.14</v>
      </c>
      <c r="G21" s="135">
        <v>9830.4500000000007</v>
      </c>
      <c r="H21" s="134">
        <f ca="1">+'Aggregate As% of GSDP'!I21</f>
        <v>80255</v>
      </c>
      <c r="I21" s="134">
        <f ca="1">+'Aggregate As% of GSDP'!J21</f>
        <v>96972</v>
      </c>
      <c r="J21" s="134">
        <f ca="1">+'Aggregate As% of GSDP'!K21</f>
        <v>99262</v>
      </c>
      <c r="K21" s="134">
        <f ca="1">+'Aggregate As% of GSDP'!L21</f>
        <v>117567</v>
      </c>
      <c r="L21" s="134">
        <f ca="1">+'Aggregate As% of GSDP'!M21</f>
        <v>135536</v>
      </c>
      <c r="M21" s="433">
        <f t="shared" si="2"/>
        <v>7.0002865865055135</v>
      </c>
      <c r="N21" s="433">
        <f t="shared" si="2"/>
        <v>6.7996122592088444</v>
      </c>
      <c r="O21" s="433">
        <f t="shared" si="2"/>
        <v>7.1762205073441994</v>
      </c>
      <c r="P21" s="433">
        <f t="shared" si="2"/>
        <v>7.6595813451053445</v>
      </c>
      <c r="Q21" s="433">
        <f t="shared" si="2"/>
        <v>7.2530176484476456</v>
      </c>
    </row>
    <row r="22" spans="1:17" ht="17.25" customHeight="1">
      <c r="A22" s="115">
        <v>15</v>
      </c>
      <c r="B22" s="112" t="s">
        <v>30</v>
      </c>
      <c r="C22" s="141">
        <v>1358.92</v>
      </c>
      <c r="D22" s="141">
        <v>1680.12</v>
      </c>
      <c r="E22" s="135">
        <v>1955.03</v>
      </c>
      <c r="F22" s="135">
        <v>2501.71</v>
      </c>
      <c r="G22" s="135">
        <v>3196.53</v>
      </c>
      <c r="H22" s="134">
        <f ca="1">+'Aggregate As% of GSDP'!I22</f>
        <v>19565</v>
      </c>
      <c r="I22" s="134">
        <f ca="1">+'Aggregate As% of GSDP'!J22</f>
        <v>25414</v>
      </c>
      <c r="J22" s="134">
        <f ca="1">+'Aggregate As% of GSDP'!K22</f>
        <v>29126</v>
      </c>
      <c r="K22" s="134">
        <f ca="1">+'Aggregate As% of GSDP'!L22</f>
        <v>32563</v>
      </c>
      <c r="L22" s="134">
        <f ca="1">+'Aggregate As% of GSDP'!M22</f>
        <v>44460</v>
      </c>
      <c r="M22" s="433">
        <f t="shared" si="2"/>
        <v>6.945668285203169</v>
      </c>
      <c r="N22" s="433">
        <f t="shared" si="2"/>
        <v>6.6110018100259698</v>
      </c>
      <c r="O22" s="433">
        <f t="shared" si="2"/>
        <v>6.7123188903385298</v>
      </c>
      <c r="P22" s="433">
        <f t="shared" si="2"/>
        <v>7.6826766575561214</v>
      </c>
      <c r="Q22" s="433">
        <f t="shared" si="2"/>
        <v>7.1896761133603242</v>
      </c>
    </row>
    <row r="23" spans="1:17" ht="17.25" customHeight="1">
      <c r="A23" s="115">
        <v>16</v>
      </c>
      <c r="B23" s="112" t="s">
        <v>31</v>
      </c>
      <c r="C23" s="141">
        <v>21885.01</v>
      </c>
      <c r="D23" s="141">
        <v>23556.7</v>
      </c>
      <c r="E23" s="135">
        <v>26740.25</v>
      </c>
      <c r="F23" s="135">
        <v>36338.629999999997</v>
      </c>
      <c r="G23" s="135">
        <v>39045.9</v>
      </c>
      <c r="H23" s="134">
        <f ca="1">+'Aggregate As% of GSDP'!I23</f>
        <v>329285</v>
      </c>
      <c r="I23" s="134">
        <f ca="1">+'Aggregate As% of GSDP'!J23</f>
        <v>367912</v>
      </c>
      <c r="J23" s="134">
        <f ca="1">+'Aggregate As% of GSDP'!K23</f>
        <v>427555</v>
      </c>
      <c r="K23" s="134">
        <f ca="1">+'Aggregate As% of GSDP'!L23</f>
        <v>513173</v>
      </c>
      <c r="L23" s="134">
        <f ca="1">+'Aggregate As% of GSDP'!M23</f>
        <v>586300.15250000008</v>
      </c>
      <c r="M23" s="433">
        <f t="shared" si="2"/>
        <v>6.6462213583977396</v>
      </c>
      <c r="N23" s="433">
        <f t="shared" si="2"/>
        <v>6.4028082802409276</v>
      </c>
      <c r="O23" s="433">
        <f t="shared" si="2"/>
        <v>6.2542246026826955</v>
      </c>
      <c r="P23" s="433">
        <f t="shared" si="2"/>
        <v>7.0811656108174041</v>
      </c>
      <c r="Q23" s="433">
        <f t="shared" si="2"/>
        <v>6.6597117250451339</v>
      </c>
    </row>
    <row r="24" spans="1:17" ht="17.25" customHeight="1">
      <c r="A24" s="115">
        <v>17</v>
      </c>
      <c r="B24" s="112" t="s">
        <v>32</v>
      </c>
      <c r="C24" s="141">
        <v>11618</v>
      </c>
      <c r="D24" s="141">
        <v>11655.28</v>
      </c>
      <c r="E24" s="135">
        <v>13220</v>
      </c>
      <c r="F24" s="135">
        <v>16790</v>
      </c>
      <c r="G24" s="135">
        <v>20007</v>
      </c>
      <c r="H24" s="134">
        <f ca="1">+'Aggregate As% of GSDP'!I24</f>
        <v>151593</v>
      </c>
      <c r="I24" s="134">
        <f ca="1">+'Aggregate As% of GSDP'!J24</f>
        <v>182481</v>
      </c>
      <c r="J24" s="134">
        <f ca="1">+'Aggregate As% of GSDP'!K24</f>
        <v>223567</v>
      </c>
      <c r="K24" s="134">
        <f ca="1">+'Aggregate As% of GSDP'!L24</f>
        <v>263975</v>
      </c>
      <c r="L24" s="134">
        <f ca="1">+'Aggregate As% of GSDP'!M24</f>
        <v>308943</v>
      </c>
      <c r="M24" s="433">
        <f t="shared" si="2"/>
        <v>7.6639422664634917</v>
      </c>
      <c r="N24" s="433">
        <f t="shared" si="2"/>
        <v>6.3871197549333907</v>
      </c>
      <c r="O24" s="433">
        <f t="shared" si="2"/>
        <v>5.9132161723331258</v>
      </c>
      <c r="P24" s="433">
        <f t="shared" si="2"/>
        <v>6.360450800265177</v>
      </c>
      <c r="Q24" s="433">
        <f t="shared" si="2"/>
        <v>6.4759518746176488</v>
      </c>
    </row>
    <row r="25" spans="1:17" ht="17.25" customHeight="1">
      <c r="A25" s="115">
        <v>18</v>
      </c>
      <c r="B25" s="112" t="s">
        <v>33</v>
      </c>
      <c r="C25" s="141">
        <v>3473.35</v>
      </c>
      <c r="D25" s="141">
        <v>3746.19</v>
      </c>
      <c r="E25" s="135">
        <v>4500.12</v>
      </c>
      <c r="F25" s="135">
        <v>5716.63</v>
      </c>
      <c r="G25" s="135">
        <v>7420.02</v>
      </c>
      <c r="H25" s="134">
        <f ca="1">+'Aggregate As% of GSDP'!I25</f>
        <v>83950</v>
      </c>
      <c r="I25" s="134">
        <f ca="1">+'Aggregate As% of GSDP'!J25</f>
        <v>87794</v>
      </c>
      <c r="J25" s="134">
        <f ca="1">+'Aggregate As% of GSDP'!K25</f>
        <v>100621</v>
      </c>
      <c r="K25" s="134">
        <f ca="1">+'Aggregate As% of GSDP'!L25</f>
        <v>115535</v>
      </c>
      <c r="L25" s="134">
        <f ca="1">+'Aggregate As% of GSDP'!M25</f>
        <v>130505</v>
      </c>
      <c r="M25" s="433">
        <f t="shared" si="2"/>
        <v>4.1374032162001191</v>
      </c>
      <c r="N25" s="433">
        <f t="shared" si="2"/>
        <v>4.267022803380641</v>
      </c>
      <c r="O25" s="433">
        <f t="shared" si="2"/>
        <v>4.4723467268264079</v>
      </c>
      <c r="P25" s="433">
        <f t="shared" si="2"/>
        <v>4.9479638204872982</v>
      </c>
      <c r="Q25" s="433">
        <f t="shared" si="2"/>
        <v>5.6856212405654958</v>
      </c>
    </row>
    <row r="26" spans="1:17" ht="17.25" customHeight="1">
      <c r="A26" s="115">
        <v>19</v>
      </c>
      <c r="B26" s="112" t="s">
        <v>34</v>
      </c>
      <c r="C26" s="141">
        <v>25987</v>
      </c>
      <c r="D26" s="141">
        <v>27645.66</v>
      </c>
      <c r="E26" s="135">
        <v>30579</v>
      </c>
      <c r="F26" s="135">
        <v>38473</v>
      </c>
      <c r="G26" s="135">
        <v>43817</v>
      </c>
      <c r="H26" s="134">
        <f ca="1">+'Aggregate As% of GSDP'!I26</f>
        <v>270629</v>
      </c>
      <c r="I26" s="134">
        <f ca="1">+'Aggregate As% of GSDP'!J26</f>
        <v>310312</v>
      </c>
      <c r="J26" s="134">
        <f ca="1">+'Aggregate As% of GSDP'!K26</f>
        <v>337516</v>
      </c>
      <c r="K26" s="134">
        <f ca="1">+'Aggregate As% of GSDP'!L26</f>
        <v>399347</v>
      </c>
      <c r="L26" s="134">
        <f ca="1">+'Aggregate As% of GSDP'!M26</f>
        <v>458903</v>
      </c>
      <c r="M26" s="433">
        <f t="shared" si="2"/>
        <v>9.60244467518263</v>
      </c>
      <c r="N26" s="433">
        <f t="shared" si="2"/>
        <v>8.9089883729923436</v>
      </c>
      <c r="O26" s="433">
        <f t="shared" si="2"/>
        <v>9.0600149326254176</v>
      </c>
      <c r="P26" s="433">
        <f t="shared" si="2"/>
        <v>9.6339774682168642</v>
      </c>
      <c r="Q26" s="433">
        <f t="shared" si="2"/>
        <v>9.5482051762572926</v>
      </c>
    </row>
    <row r="27" spans="1:17" ht="17.25" customHeight="1">
      <c r="A27" s="115">
        <v>20</v>
      </c>
      <c r="B27" s="112" t="s">
        <v>35</v>
      </c>
      <c r="C27" s="141">
        <v>13668.95</v>
      </c>
      <c r="D27" s="141">
        <v>15990.18</v>
      </c>
      <c r="E27" s="135">
        <v>17625.02</v>
      </c>
      <c r="F27" s="135">
        <v>21721.73</v>
      </c>
      <c r="G27" s="135">
        <v>26641.53</v>
      </c>
      <c r="H27" s="134">
        <f ca="1">+'Aggregate As% of GSDP'!I27</f>
        <v>175141</v>
      </c>
      <c r="I27" s="134">
        <f ca="1">+'Aggregate As% of GSDP'!J27</f>
        <v>202783</v>
      </c>
      <c r="J27" s="134">
        <f ca="1">+'Aggregate As% of GSDP'!K27</f>
        <v>232381</v>
      </c>
      <c r="K27" s="134">
        <f ca="1">+'Aggregate As% of GSDP'!L27</f>
        <v>276997</v>
      </c>
      <c r="L27" s="134">
        <f ca="1">+'Aggregate As% of GSDP'!M27</f>
        <v>326693</v>
      </c>
      <c r="M27" s="433">
        <f t="shared" si="2"/>
        <v>7.8045403417817658</v>
      </c>
      <c r="N27" s="433">
        <f t="shared" si="2"/>
        <v>7.8853651440209491</v>
      </c>
      <c r="O27" s="433">
        <f t="shared" si="2"/>
        <v>7.5845357408738243</v>
      </c>
      <c r="P27" s="433">
        <f t="shared" si="2"/>
        <v>7.8418647133362454</v>
      </c>
      <c r="Q27" s="433">
        <f t="shared" si="2"/>
        <v>8.1549130223175883</v>
      </c>
    </row>
    <row r="28" spans="1:17" ht="17.25" customHeight="1">
      <c r="A28" s="115">
        <v>21</v>
      </c>
      <c r="B28" s="112" t="s">
        <v>36</v>
      </c>
      <c r="C28" s="141">
        <v>12017.63</v>
      </c>
      <c r="D28" s="141">
        <v>13613.5</v>
      </c>
      <c r="E28" s="135">
        <v>17272.8</v>
      </c>
      <c r="F28" s="135">
        <v>21419.35</v>
      </c>
      <c r="G28" s="135">
        <v>23118.31</v>
      </c>
      <c r="H28" s="134">
        <f ca="1">+'Aggregate As% of GSDP'!I28</f>
        <v>161479</v>
      </c>
      <c r="I28" s="134">
        <f ca="1">+'Aggregate As% of GSDP'!J28</f>
        <v>197276</v>
      </c>
      <c r="J28" s="134">
        <f ca="1">+'Aggregate As% of GSDP'!K28</f>
        <v>227984</v>
      </c>
      <c r="K28" s="134">
        <f ca="1">+'Aggregate As% of GSDP'!L28</f>
        <v>260403</v>
      </c>
      <c r="L28" s="134">
        <f ca="1">+'Aggregate As% of GSDP'!M28</f>
        <v>315387</v>
      </c>
      <c r="M28" s="433">
        <f t="shared" si="2"/>
        <v>7.4422246855628291</v>
      </c>
      <c r="N28" s="433">
        <f t="shared" si="2"/>
        <v>6.9007380522719446</v>
      </c>
      <c r="O28" s="433">
        <f t="shared" si="2"/>
        <v>7.5763211453435328</v>
      </c>
      <c r="P28" s="433">
        <f t="shared" si="2"/>
        <v>8.2254620722495506</v>
      </c>
      <c r="Q28" s="433">
        <f t="shared" si="2"/>
        <v>7.3301404306455247</v>
      </c>
    </row>
    <row r="29" spans="1:17" ht="17.25" customHeight="1">
      <c r="A29" s="115">
        <v>22</v>
      </c>
      <c r="B29" s="112" t="s">
        <v>37</v>
      </c>
      <c r="C29" s="141">
        <v>47528.36</v>
      </c>
      <c r="D29" s="141">
        <v>52031.05</v>
      </c>
      <c r="E29" s="135">
        <v>59106.3</v>
      </c>
      <c r="F29" s="135">
        <v>75027.100000000006</v>
      </c>
      <c r="G29" s="135">
        <v>83686.06</v>
      </c>
      <c r="H29" s="134">
        <f ca="1">+'Aggregate As% of GSDP'!I29</f>
        <v>679004</v>
      </c>
      <c r="I29" s="134">
        <f ca="1">+'Aggregate As% of GSDP'!J29</f>
        <v>756334</v>
      </c>
      <c r="J29" s="134">
        <f ca="1">+'Aggregate As% of GSDP'!K29</f>
        <v>901330</v>
      </c>
      <c r="K29" s="134">
        <f ca="1">+'Aggregate As% of GSDP'!L29</f>
        <v>1029621</v>
      </c>
      <c r="L29" s="134">
        <f ca="1">+'Aggregate As% of GSDP'!M29</f>
        <v>1180302</v>
      </c>
      <c r="M29" s="433">
        <f t="shared" si="2"/>
        <v>6.9997172328881714</v>
      </c>
      <c r="N29" s="433">
        <f t="shared" si="2"/>
        <v>6.8793747206921818</v>
      </c>
      <c r="O29" s="433">
        <f t="shared" si="2"/>
        <v>6.5576758789788432</v>
      </c>
      <c r="P29" s="433">
        <f t="shared" si="2"/>
        <v>7.2868657496302047</v>
      </c>
      <c r="Q29" s="433">
        <f t="shared" si="2"/>
        <v>7.0902243663062494</v>
      </c>
    </row>
    <row r="30" spans="1:17" ht="17.25" customHeight="1">
      <c r="A30" s="115">
        <v>23</v>
      </c>
      <c r="B30" s="112" t="s">
        <v>104</v>
      </c>
      <c r="C30" s="141">
        <v>6856.09</v>
      </c>
      <c r="D30" s="141">
        <v>7995.21</v>
      </c>
      <c r="E30" s="135">
        <v>8982.34</v>
      </c>
      <c r="F30" s="135">
        <v>11192.66</v>
      </c>
      <c r="G30" s="135">
        <v>12305.83</v>
      </c>
      <c r="H30" s="134">
        <f ca="1">+'Aggregate As% of GSDP'!I30</f>
        <v>129274</v>
      </c>
      <c r="I30" s="134">
        <f ca="1">+'Aggregate As% of GSDP'!J30</f>
        <v>148491</v>
      </c>
      <c r="J30" s="134">
        <f ca="1">+'Aggregate As% of GSDP'!K30</f>
        <v>163727</v>
      </c>
      <c r="K30" s="134">
        <f ca="1">+'Aggregate As% of GSDP'!L30</f>
        <v>195028</v>
      </c>
      <c r="L30" s="134">
        <f ca="1">+'Aggregate As% of GSDP'!M30</f>
        <v>226236</v>
      </c>
      <c r="M30" s="433">
        <f t="shared" si="2"/>
        <v>5.3035335798381729</v>
      </c>
      <c r="N30" s="433">
        <f t="shared" si="2"/>
        <v>5.3843061195628019</v>
      </c>
      <c r="O30" s="433">
        <f t="shared" si="2"/>
        <v>5.4861690496985842</v>
      </c>
      <c r="P30" s="433">
        <f t="shared" si="2"/>
        <v>5.7390015792604139</v>
      </c>
      <c r="Q30" s="433">
        <f t="shared" si="2"/>
        <v>5.4393774642408816</v>
      </c>
    </row>
    <row r="31" spans="1:17" ht="17.25" customHeight="1">
      <c r="A31" s="115">
        <v>24</v>
      </c>
      <c r="B31" s="112" t="s">
        <v>39</v>
      </c>
      <c r="C31" s="141">
        <v>9899.25</v>
      </c>
      <c r="D31" s="141">
        <v>11150.61</v>
      </c>
      <c r="E31" s="135">
        <v>12039.48</v>
      </c>
      <c r="F31" s="135">
        <v>16828.18</v>
      </c>
      <c r="G31" s="135">
        <v>20407.7</v>
      </c>
      <c r="H31" s="134">
        <f ca="1">+'Aggregate As% of GSDP'!I31</f>
        <v>152245</v>
      </c>
      <c r="I31" s="134">
        <f ca="1">+'Aggregate As% of GSDP'!J31</f>
        <v>174039</v>
      </c>
      <c r="J31" s="134">
        <f ca="1">+'Aggregate As% of GSDP'!K31</f>
        <v>198393</v>
      </c>
      <c r="K31" s="134">
        <f ca="1">+'Aggregate As% of GSDP'!L31</f>
        <v>224975</v>
      </c>
      <c r="L31" s="134">
        <f ca="1">+'Aggregate As% of GSDP'!M31</f>
        <v>248301</v>
      </c>
      <c r="M31" s="433">
        <f t="shared" si="2"/>
        <v>6.5021839797694509</v>
      </c>
      <c r="N31" s="433">
        <f t="shared" si="2"/>
        <v>6.4069605088514638</v>
      </c>
      <c r="O31" s="433">
        <f t="shared" si="2"/>
        <v>6.0685004007197829</v>
      </c>
      <c r="P31" s="433">
        <f t="shared" si="2"/>
        <v>7.4800222246916324</v>
      </c>
      <c r="Q31" s="433">
        <f t="shared" si="2"/>
        <v>8.2189358882968655</v>
      </c>
    </row>
    <row r="32" spans="1:17" ht="17.25" customHeight="1">
      <c r="A32" s="115">
        <v>25</v>
      </c>
      <c r="B32" s="112" t="s">
        <v>40</v>
      </c>
      <c r="C32" s="141">
        <v>13274.73</v>
      </c>
      <c r="D32" s="141">
        <v>14943.5</v>
      </c>
      <c r="E32" s="135">
        <v>16414.27</v>
      </c>
      <c r="F32" s="135">
        <v>20758.13</v>
      </c>
      <c r="G32" s="135">
        <v>21349.45</v>
      </c>
      <c r="H32" s="134">
        <f ca="1">+'Aggregate As% of GSDP'!I32</f>
        <v>194822</v>
      </c>
      <c r="I32" s="134">
        <f ca="1">+'Aggregate As% of GSDP'!J32</f>
        <v>230949</v>
      </c>
      <c r="J32" s="134">
        <f ca="1">+'Aggregate As% of GSDP'!K32</f>
        <v>263258</v>
      </c>
      <c r="K32" s="134">
        <f ca="1">+'Aggregate As% of GSDP'!L32</f>
        <v>323682</v>
      </c>
      <c r="L32" s="134">
        <f ca="1">+'Aggregate As% of GSDP'!M32</f>
        <v>368320</v>
      </c>
      <c r="M32" s="433">
        <f t="shared" si="2"/>
        <v>6.8137735984642385</v>
      </c>
      <c r="N32" s="433">
        <f t="shared" si="2"/>
        <v>6.4704761657335599</v>
      </c>
      <c r="O32" s="433">
        <f t="shared" si="2"/>
        <v>6.2350507866807465</v>
      </c>
      <c r="P32" s="433">
        <f t="shared" si="2"/>
        <v>6.4131246099566859</v>
      </c>
      <c r="Q32" s="433">
        <f t="shared" si="2"/>
        <v>5.7964405951346656</v>
      </c>
    </row>
    <row r="33" spans="1:17" ht="17.25" customHeight="1">
      <c r="A33" s="115">
        <v>26</v>
      </c>
      <c r="B33" s="112" t="s">
        <v>41</v>
      </c>
      <c r="C33" s="141">
        <v>29619.1</v>
      </c>
      <c r="D33" s="141">
        <v>33684.370000000003</v>
      </c>
      <c r="E33" s="135">
        <v>36546.67</v>
      </c>
      <c r="F33" s="135">
        <v>47782.18</v>
      </c>
      <c r="G33" s="135">
        <v>55709.58</v>
      </c>
      <c r="H33" s="134">
        <f ca="1">+'Aggregate As% of GSDP'!I33</f>
        <v>350819</v>
      </c>
      <c r="I33" s="134">
        <f ca="1">+'Aggregate As% of GSDP'!J33</f>
        <v>401336</v>
      </c>
      <c r="J33" s="134">
        <f ca="1">+'Aggregate As% of GSDP'!K33</f>
        <v>479720</v>
      </c>
      <c r="K33" s="134">
        <f ca="1">+'Aggregate As% of GSDP'!L33</f>
        <v>566422</v>
      </c>
      <c r="L33" s="134">
        <f ca="1">+'Aggregate As% of GSDP'!M33</f>
        <v>639025</v>
      </c>
      <c r="M33" s="433">
        <f t="shared" si="2"/>
        <v>8.4428437456352139</v>
      </c>
      <c r="N33" s="433">
        <f t="shared" si="2"/>
        <v>8.3930596806665747</v>
      </c>
      <c r="O33" s="433">
        <f t="shared" si="2"/>
        <v>7.6183336112732425</v>
      </c>
      <c r="P33" s="433">
        <f t="shared" si="2"/>
        <v>8.4357916888821407</v>
      </c>
      <c r="Q33" s="433">
        <f t="shared" si="2"/>
        <v>8.7179030554360164</v>
      </c>
    </row>
    <row r="34" spans="1:17" ht="17.25" customHeight="1">
      <c r="A34" s="115">
        <v>27</v>
      </c>
      <c r="B34" s="112" t="s">
        <v>42</v>
      </c>
      <c r="C34" s="141">
        <v>24959.32</v>
      </c>
      <c r="D34" s="141">
        <v>28659</v>
      </c>
      <c r="E34" s="135">
        <v>33877.57</v>
      </c>
      <c r="F34" s="135">
        <v>41354.83</v>
      </c>
      <c r="G34" s="135">
        <v>50866.44</v>
      </c>
      <c r="H34" s="134">
        <f ca="1">+'Aggregate As% of GSDP'!I34</f>
        <v>383026</v>
      </c>
      <c r="I34" s="134">
        <f ca="1">+'Aggregate As% of GSDP'!J34</f>
        <v>444685</v>
      </c>
      <c r="J34" s="134">
        <f ca="1">+'Aggregate As% of GSDP'!K34</f>
        <v>523193</v>
      </c>
      <c r="K34" s="134">
        <f ca="1">+'Aggregate As% of GSDP'!L34</f>
        <v>605219</v>
      </c>
      <c r="L34" s="134">
        <f ca="1">+'Aggregate As% of GSDP'!M34</f>
        <v>687836</v>
      </c>
      <c r="M34" s="433">
        <f t="shared" si="2"/>
        <v>6.5163513704030533</v>
      </c>
      <c r="N34" s="433">
        <f t="shared" si="2"/>
        <v>6.4447867591666013</v>
      </c>
      <c r="O34" s="433">
        <f t="shared" si="2"/>
        <v>6.4751573511113492</v>
      </c>
      <c r="P34" s="433">
        <f t="shared" si="2"/>
        <v>6.8330356449483585</v>
      </c>
      <c r="Q34" s="433">
        <f t="shared" si="2"/>
        <v>7.3951407021441167</v>
      </c>
    </row>
    <row r="35" spans="1:17" ht="17.25" customHeight="1">
      <c r="A35" s="115">
        <v>28</v>
      </c>
      <c r="B35" s="112" t="s">
        <v>43</v>
      </c>
      <c r="C35" s="141">
        <v>13126.34</v>
      </c>
      <c r="D35" s="141">
        <v>14419.15</v>
      </c>
      <c r="E35" s="135">
        <v>16899.98</v>
      </c>
      <c r="F35" s="135">
        <v>21128.74</v>
      </c>
      <c r="G35" s="135">
        <v>27690</v>
      </c>
      <c r="H35" s="134">
        <f ca="1">+'Aggregate As% of GSDP'!I35</f>
        <v>299483</v>
      </c>
      <c r="I35" s="134">
        <f ca="1">+'Aggregate As% of GSDP'!J35</f>
        <v>341942</v>
      </c>
      <c r="J35" s="134">
        <f ca="1">+'Aggregate As% of GSDP'!K35</f>
        <v>398933</v>
      </c>
      <c r="K35" s="134">
        <f ca="1">+'Aggregate As% of GSDP'!L35</f>
        <v>467421</v>
      </c>
      <c r="L35" s="134">
        <f ca="1">+'Aggregate As% of GSDP'!M35</f>
        <v>541586</v>
      </c>
      <c r="M35" s="433">
        <f t="shared" si="2"/>
        <v>4.3830000367299649</v>
      </c>
      <c r="N35" s="433">
        <f t="shared" si="2"/>
        <v>4.216840867749502</v>
      </c>
      <c r="O35" s="433">
        <f t="shared" si="2"/>
        <v>4.236295317760125</v>
      </c>
      <c r="P35" s="433">
        <f t="shared" si="2"/>
        <v>4.5202804324153174</v>
      </c>
      <c r="Q35" s="433">
        <f t="shared" si="2"/>
        <v>5.1127614081604769</v>
      </c>
    </row>
    <row r="36" spans="1:17" s="140" customFormat="1" ht="17.25" customHeight="1">
      <c r="A36" s="138"/>
      <c r="B36" s="138" t="s">
        <v>44</v>
      </c>
      <c r="C36" s="142">
        <f t="shared" ref="C36:L36" si="3">SUM(C19:C35)</f>
        <v>274770.30000000005</v>
      </c>
      <c r="D36" s="142">
        <f t="shared" si="3"/>
        <v>306894.82</v>
      </c>
      <c r="E36" s="139">
        <f>SUM(E19:E35)</f>
        <v>346147.47</v>
      </c>
      <c r="F36" s="139">
        <f>SUM(F19:F35)</f>
        <v>441047.41000000003</v>
      </c>
      <c r="G36" s="139">
        <f>SUM(G19:G35)</f>
        <v>514113.01000000007</v>
      </c>
      <c r="H36" s="139">
        <f t="shared" si="3"/>
        <v>3939063</v>
      </c>
      <c r="I36" s="139">
        <f t="shared" si="3"/>
        <v>4537764</v>
      </c>
      <c r="J36" s="139">
        <f t="shared" si="3"/>
        <v>5260777</v>
      </c>
      <c r="K36" s="139">
        <f t="shared" si="3"/>
        <v>6182747</v>
      </c>
      <c r="L36" s="139">
        <f t="shared" si="3"/>
        <v>7126825.1524999999</v>
      </c>
      <c r="M36" s="436">
        <f t="shared" si="2"/>
        <v>6.9755243823213808</v>
      </c>
      <c r="N36" s="436">
        <f t="shared" si="2"/>
        <v>6.7631287127316444</v>
      </c>
      <c r="O36" s="436">
        <f t="shared" si="2"/>
        <v>6.5797784243658297</v>
      </c>
      <c r="P36" s="436">
        <f t="shared" si="2"/>
        <v>7.1335186447059868</v>
      </c>
      <c r="Q36" s="436">
        <f t="shared" si="2"/>
        <v>7.213773300158147</v>
      </c>
    </row>
    <row r="37" spans="1:17" ht="17.25" customHeight="1">
      <c r="A37" s="112"/>
      <c r="B37" s="113" t="s">
        <v>61</v>
      </c>
      <c r="C37" s="280"/>
      <c r="D37" s="280"/>
      <c r="E37" s="137"/>
      <c r="F37" s="137"/>
      <c r="G37" s="137"/>
      <c r="H37" s="137"/>
      <c r="I37" s="137"/>
      <c r="J37" s="137"/>
      <c r="K37" s="137"/>
      <c r="L37" s="137"/>
      <c r="M37" s="433"/>
      <c r="N37" s="433"/>
      <c r="O37" s="433"/>
      <c r="P37" s="433"/>
      <c r="Q37" s="433"/>
    </row>
    <row r="38" spans="1:17" ht="17.25" customHeight="1">
      <c r="A38" s="115">
        <v>29</v>
      </c>
      <c r="B38" s="112" t="s">
        <v>46</v>
      </c>
      <c r="C38" s="141">
        <v>11782.8</v>
      </c>
      <c r="D38" s="141">
        <v>12180.7</v>
      </c>
      <c r="E38" s="135">
        <v>13447.86</v>
      </c>
      <c r="F38" s="135">
        <v>16477.75</v>
      </c>
      <c r="G38" s="135">
        <v>20128</v>
      </c>
      <c r="H38" s="134">
        <f ca="1">+'Aggregate As% of GSDP'!I39</f>
        <v>157947</v>
      </c>
      <c r="I38" s="134">
        <f ca="1">+'Aggregate As% of GSDP'!J39</f>
        <v>189533</v>
      </c>
      <c r="J38" s="134">
        <f ca="1">+'Aggregate As% of GSDP'!K39</f>
        <v>223759</v>
      </c>
      <c r="K38" s="134">
        <f ca="1">+'Aggregate As% of GSDP'!L39</f>
        <v>264496</v>
      </c>
      <c r="L38" s="134">
        <f ca="1">+'Aggregate As% of GSDP'!M39</f>
        <v>313934</v>
      </c>
      <c r="M38" s="433">
        <f t="shared" ref="M38:Q40" si="4">+C38/H38*100</f>
        <v>7.4599707496818546</v>
      </c>
      <c r="N38" s="433">
        <f t="shared" si="4"/>
        <v>6.4266908664981832</v>
      </c>
      <c r="O38" s="433">
        <f t="shared" si="4"/>
        <v>6.0099750177646492</v>
      </c>
      <c r="P38" s="433">
        <f t="shared" si="4"/>
        <v>6.2298673703950156</v>
      </c>
      <c r="Q38" s="433">
        <f t="shared" si="4"/>
        <v>6.4115387310708618</v>
      </c>
    </row>
    <row r="39" spans="1:17" ht="17.25" customHeight="1">
      <c r="A39" s="115">
        <v>30</v>
      </c>
      <c r="B39" s="112" t="s">
        <v>47</v>
      </c>
      <c r="C39" s="141">
        <v>653</v>
      </c>
      <c r="D39" s="141">
        <v>725</v>
      </c>
      <c r="E39" s="135">
        <v>868</v>
      </c>
      <c r="F39" s="135">
        <v>1075</v>
      </c>
      <c r="G39" s="135">
        <v>2229</v>
      </c>
      <c r="H39" s="134">
        <f ca="1">+'Aggregate As% of GSDP'!I40</f>
        <v>9251</v>
      </c>
      <c r="I39" s="134">
        <f ca="1">+'Aggregate As% of GSDP'!J40</f>
        <v>10050</v>
      </c>
      <c r="J39" s="134">
        <f ca="1">+'Aggregate As% of GSDP'!K40</f>
        <v>11344</v>
      </c>
      <c r="K39" s="134">
        <f ca="1">+'Aggregate As% of GSDP'!L40</f>
        <v>12929</v>
      </c>
      <c r="L39" s="134">
        <f ca="1">+'Aggregate As% of GSDP'!M40</f>
        <v>13724</v>
      </c>
      <c r="M39" s="433">
        <f t="shared" si="4"/>
        <v>7.0586963571505787</v>
      </c>
      <c r="N39" s="433">
        <f t="shared" si="4"/>
        <v>7.2139303482587067</v>
      </c>
      <c r="O39" s="433">
        <f t="shared" si="4"/>
        <v>7.6516220028208748</v>
      </c>
      <c r="P39" s="433">
        <f t="shared" si="4"/>
        <v>8.3146415035965671</v>
      </c>
      <c r="Q39" s="433">
        <f t="shared" si="4"/>
        <v>16.241620518799184</v>
      </c>
    </row>
    <row r="40" spans="1:17" s="111" customFormat="1" ht="17.25" customHeight="1">
      <c r="A40" s="113"/>
      <c r="B40" s="113" t="s">
        <v>62</v>
      </c>
      <c r="C40" s="280">
        <f t="shared" ref="C40:J40" si="5">SUM(C38:C39)</f>
        <v>12435.8</v>
      </c>
      <c r="D40" s="280">
        <f t="shared" si="5"/>
        <v>12905.7</v>
      </c>
      <c r="E40" s="137">
        <f>SUM(E38:E39)</f>
        <v>14315.86</v>
      </c>
      <c r="F40" s="137">
        <f>SUM(F38:F39)</f>
        <v>17552.75</v>
      </c>
      <c r="G40" s="137">
        <f>SUM(G38:G39)</f>
        <v>22357</v>
      </c>
      <c r="H40" s="137">
        <f t="shared" si="5"/>
        <v>167198</v>
      </c>
      <c r="I40" s="137">
        <f t="shared" si="5"/>
        <v>199583</v>
      </c>
      <c r="J40" s="137">
        <f t="shared" si="5"/>
        <v>235103</v>
      </c>
      <c r="K40" s="137">
        <f>SUM(K38:K39)</f>
        <v>277425</v>
      </c>
      <c r="L40" s="137">
        <f>SUM(L38:L39)</f>
        <v>327658</v>
      </c>
      <c r="M40" s="435">
        <f t="shared" si="4"/>
        <v>7.4377683943587831</v>
      </c>
      <c r="N40" s="435">
        <f t="shared" si="4"/>
        <v>6.4663323028514448</v>
      </c>
      <c r="O40" s="435">
        <f t="shared" si="4"/>
        <v>6.0891864416872608</v>
      </c>
      <c r="P40" s="435">
        <f t="shared" si="4"/>
        <v>6.3270253221591428</v>
      </c>
      <c r="Q40" s="435">
        <f t="shared" si="4"/>
        <v>6.8232730468964595</v>
      </c>
    </row>
    <row r="41" spans="1:17">
      <c r="A41" s="112"/>
      <c r="B41" s="112"/>
      <c r="C41" s="141"/>
      <c r="D41" s="141"/>
      <c r="E41" s="135"/>
      <c r="F41" s="135"/>
      <c r="G41" s="135"/>
      <c r="H41" s="141"/>
      <c r="I41" s="141"/>
      <c r="J41" s="141"/>
      <c r="K41" s="141"/>
      <c r="L41" s="141"/>
      <c r="M41" s="433"/>
      <c r="N41" s="433"/>
      <c r="O41" s="433"/>
      <c r="P41" s="433"/>
      <c r="Q41" s="433"/>
    </row>
    <row r="42" spans="1:17" s="140" customFormat="1" ht="11.25">
      <c r="A42" s="138"/>
      <c r="B42" s="138" t="s">
        <v>49</v>
      </c>
      <c r="C42" s="142">
        <f t="shared" ref="C42:J42" si="6">+C17+C36+C40</f>
        <v>299162.58</v>
      </c>
      <c r="D42" s="142">
        <f t="shared" si="6"/>
        <v>333489.44</v>
      </c>
      <c r="E42" s="139">
        <f t="shared" si="6"/>
        <v>375480.61</v>
      </c>
      <c r="F42" s="139">
        <f t="shared" si="6"/>
        <v>478360.62000000005</v>
      </c>
      <c r="G42" s="139">
        <f t="shared" si="6"/>
        <v>558207.4800000001</v>
      </c>
      <c r="H42" s="142">
        <f t="shared" si="6"/>
        <v>4341777</v>
      </c>
      <c r="I42" s="142">
        <f t="shared" si="6"/>
        <v>5013762</v>
      </c>
      <c r="J42" s="142">
        <f t="shared" si="6"/>
        <v>5821399</v>
      </c>
      <c r="K42" s="142">
        <f>+K17+K36+K40</f>
        <v>6831509</v>
      </c>
      <c r="L42" s="142">
        <f>+L17+L36+L40</f>
        <v>7874383.9814999998</v>
      </c>
      <c r="M42" s="436">
        <f>+C42/H42*100</f>
        <v>6.8903257813563439</v>
      </c>
      <c r="N42" s="436">
        <f>+D42/I42*100</f>
        <v>6.6514812629717968</v>
      </c>
      <c r="O42" s="436">
        <f>+E42/J42*100</f>
        <v>6.450006433161513</v>
      </c>
      <c r="P42" s="436">
        <f>+F42/K42*100</f>
        <v>7.0022687520429239</v>
      </c>
      <c r="Q42" s="436">
        <f>+G42/L42*100</f>
        <v>7.0889034788174836</v>
      </c>
    </row>
    <row r="43" spans="1:17" ht="19.5" customHeight="1">
      <c r="B43" s="576" t="s">
        <v>197</v>
      </c>
      <c r="C43" s="576"/>
      <c r="D43" s="576"/>
      <c r="E43" s="576"/>
      <c r="F43" s="576"/>
      <c r="G43" s="576"/>
      <c r="H43" s="576"/>
    </row>
    <row r="45" spans="1:17">
      <c r="O45" s="143"/>
    </row>
  </sheetData>
  <mergeCells count="7">
    <mergeCell ref="B43:H43"/>
    <mergeCell ref="A1:Q1"/>
    <mergeCell ref="H2:L2"/>
    <mergeCell ref="M2:Q2"/>
    <mergeCell ref="B2:B3"/>
    <mergeCell ref="A2:A3"/>
    <mergeCell ref="C2:G2"/>
  </mergeCells>
  <phoneticPr fontId="63" type="noConversion"/>
  <printOptions horizontalCentered="1"/>
  <pageMargins left="0.35433070866141736" right="0.15748031496062992" top="0.78740157480314965" bottom="0.39370078740157483" header="0" footer="0"/>
  <pageSetup paperSize="9" scale="68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44" sqref="I44"/>
    </sheetView>
  </sheetViews>
  <sheetFormatPr defaultRowHeight="12.75"/>
  <cols>
    <col min="1" max="1" width="4.85546875" style="26" customWidth="1"/>
    <col min="2" max="2" width="34.7109375" customWidth="1"/>
    <col min="3" max="4" width="11.28515625" customWidth="1"/>
    <col min="5" max="7" width="11.28515625" style="14" customWidth="1"/>
    <col min="8" max="17" width="11.28515625" customWidth="1"/>
  </cols>
  <sheetData>
    <row r="1" spans="1:17" ht="27" customHeight="1">
      <c r="A1" s="589" t="s">
        <v>238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90"/>
      <c r="P1" s="591"/>
    </row>
    <row r="2" spans="1:17" ht="36" customHeight="1">
      <c r="A2" s="592" t="s">
        <v>0</v>
      </c>
      <c r="B2" s="600" t="s">
        <v>1</v>
      </c>
      <c r="C2" s="593" t="s">
        <v>2</v>
      </c>
      <c r="D2" s="594"/>
      <c r="E2" s="594"/>
      <c r="F2" s="594"/>
      <c r="G2" s="595"/>
      <c r="H2" s="596" t="s">
        <v>3</v>
      </c>
      <c r="I2" s="597"/>
      <c r="J2" s="597"/>
      <c r="K2" s="597"/>
      <c r="L2" s="598"/>
      <c r="M2" s="599" t="s">
        <v>4</v>
      </c>
      <c r="N2" s="599"/>
      <c r="O2" s="599"/>
      <c r="P2" s="599"/>
      <c r="Q2" s="599"/>
    </row>
    <row r="3" spans="1:17" ht="21.75" customHeight="1">
      <c r="A3" s="592"/>
      <c r="B3" s="601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437" t="s">
        <v>5</v>
      </c>
      <c r="I3" s="437" t="s">
        <v>6</v>
      </c>
      <c r="J3" s="437" t="s">
        <v>7</v>
      </c>
      <c r="K3" s="437" t="s">
        <v>8</v>
      </c>
      <c r="L3" s="437" t="s">
        <v>9</v>
      </c>
      <c r="M3" s="2" t="s">
        <v>5</v>
      </c>
      <c r="N3" s="2" t="s">
        <v>6</v>
      </c>
      <c r="O3" s="1" t="s">
        <v>7</v>
      </c>
      <c r="P3" s="1" t="s">
        <v>8</v>
      </c>
      <c r="Q3" s="1" t="s">
        <v>9</v>
      </c>
    </row>
    <row r="4" spans="1:17" ht="18" customHeight="1">
      <c r="A4" s="592"/>
      <c r="B4" s="129">
        <v>41129</v>
      </c>
      <c r="C4" s="1" t="s">
        <v>10</v>
      </c>
      <c r="D4" s="1" t="s">
        <v>10</v>
      </c>
      <c r="E4" s="1" t="s">
        <v>10</v>
      </c>
      <c r="F4" s="1" t="s">
        <v>11</v>
      </c>
      <c r="G4" s="1" t="s">
        <v>12</v>
      </c>
      <c r="H4" s="437" t="s">
        <v>10</v>
      </c>
      <c r="I4" s="437" t="s">
        <v>10</v>
      </c>
      <c r="J4" s="437" t="s">
        <v>10</v>
      </c>
      <c r="K4" s="437" t="s">
        <v>11</v>
      </c>
      <c r="L4" s="437" t="s">
        <v>12</v>
      </c>
      <c r="M4" s="2" t="s">
        <v>10</v>
      </c>
      <c r="N4" s="2" t="s">
        <v>10</v>
      </c>
      <c r="O4" s="2" t="s">
        <v>10</v>
      </c>
      <c r="P4" s="1" t="s">
        <v>11</v>
      </c>
      <c r="Q4" s="1" t="s">
        <v>12</v>
      </c>
    </row>
    <row r="5" spans="1:17">
      <c r="A5" s="3"/>
      <c r="B5" s="4" t="s">
        <v>13</v>
      </c>
      <c r="C5" s="5"/>
      <c r="D5" s="5"/>
      <c r="E5" s="5"/>
      <c r="F5" s="5"/>
      <c r="G5" s="5"/>
      <c r="H5" s="438"/>
      <c r="I5" s="438"/>
      <c r="J5" s="438"/>
      <c r="K5" s="438"/>
      <c r="L5" s="438"/>
      <c r="M5" s="6"/>
      <c r="N5" s="6"/>
      <c r="O5" s="7"/>
      <c r="P5" s="7"/>
      <c r="Q5" s="8"/>
    </row>
    <row r="6" spans="1:17" ht="18.75" customHeight="1">
      <c r="A6" s="3">
        <v>1</v>
      </c>
      <c r="B6" s="6" t="s">
        <v>14</v>
      </c>
      <c r="C6" s="18">
        <f ca="1">+'SOTR (%GSDP)'!C6</f>
        <v>98.06</v>
      </c>
      <c r="D6" s="18">
        <f ca="1">+'SOTR (%GSDP)'!D6</f>
        <v>136.19</v>
      </c>
      <c r="E6" s="18">
        <f ca="1">+'SOTR (%GSDP)'!E6</f>
        <v>173.4</v>
      </c>
      <c r="F6" s="18">
        <f ca="1">+'SOTR (%GSDP)'!F6</f>
        <v>214.96</v>
      </c>
      <c r="G6" s="18">
        <f ca="1">+'SOTR (%GSDP)'!G6</f>
        <v>251.1</v>
      </c>
      <c r="H6" s="439">
        <f>(C6/C$42)*100</f>
        <v>3.2778163632630794E-2</v>
      </c>
      <c r="I6" s="439">
        <f>+(D6/D$42)*100</f>
        <v>4.083787480647063E-2</v>
      </c>
      <c r="J6" s="439">
        <f>+(E6/E$42)*100</f>
        <v>4.6180813438009491E-2</v>
      </c>
      <c r="K6" s="439">
        <f t="shared" ref="K6:L17" si="0">+(F6/F$42)*100</f>
        <v>4.4936809388699261E-2</v>
      </c>
      <c r="L6" s="439">
        <f t="shared" si="0"/>
        <v>4.4983273961144335E-2</v>
      </c>
      <c r="M6" s="11">
        <f>+C6/'[5]Total Revenue Reciepts'!H6*100</f>
        <v>2.0386694386694391</v>
      </c>
      <c r="N6" s="11">
        <f>+D6/'[5]Total Revenue Reciepts'!I6*100</f>
        <v>2.3947599788992435</v>
      </c>
      <c r="O6" s="11">
        <f>+E6/'[5]Total Revenue Reciepts'!J6*100</f>
        <v>2.4474241354975299</v>
      </c>
      <c r="P6" s="11">
        <f>+F6/'[5]Total Revenue Reciepts'!K6*100</f>
        <v>2.6109559091461194</v>
      </c>
      <c r="Q6" s="11">
        <f>+G6/'[5]Total Revenue Reciepts'!L6*100</f>
        <v>2.6835524206476431</v>
      </c>
    </row>
    <row r="7" spans="1:17" ht="18.75" customHeight="1">
      <c r="A7" s="3">
        <v>2</v>
      </c>
      <c r="B7" s="6" t="s">
        <v>15</v>
      </c>
      <c r="C7" s="18">
        <f ca="1">+'SOTR (%GSDP)'!C7</f>
        <v>3358.72</v>
      </c>
      <c r="D7" s="18">
        <f ca="1">+'SOTR (%GSDP)'!D7</f>
        <v>4149.9799999999996</v>
      </c>
      <c r="E7" s="18">
        <f ca="1">+'SOTR (%GSDP)'!E7</f>
        <v>4028.26</v>
      </c>
      <c r="F7" s="18">
        <f ca="1">+'SOTR (%GSDP)'!F7</f>
        <v>5929.82</v>
      </c>
      <c r="G7" s="18">
        <f ca="1">+'SOTR (%GSDP)'!G7</f>
        <v>6144.05</v>
      </c>
      <c r="H7" s="439">
        <f>(C7/C$42)*100</f>
        <v>1.1227072583743594</v>
      </c>
      <c r="I7" s="439">
        <f t="shared" ref="I7:J17" si="1">+(D7/D$42)*100</f>
        <v>1.2444112173386959</v>
      </c>
      <c r="J7" s="439">
        <f t="shared" si="1"/>
        <v>1.0728277020749488</v>
      </c>
      <c r="K7" s="439">
        <f t="shared" si="0"/>
        <v>1.2396129096078183</v>
      </c>
      <c r="L7" s="439">
        <f t="shared" si="0"/>
        <v>1.1006749676661443</v>
      </c>
      <c r="M7" s="11">
        <f>+C7/'[5]Total Revenue Reciepts'!H7*100</f>
        <v>4.7255332320333157</v>
      </c>
      <c r="N7" s="11">
        <f>+D7/'[5]Total Revenue Reciepts'!I7*100</f>
        <v>5.1187557046648733</v>
      </c>
      <c r="O7" s="11">
        <f>+E7/'[5]Total Revenue Reciepts'!J7*100</f>
        <v>4.3437462932809989</v>
      </c>
      <c r="P7" s="11">
        <f>+F7/'[5]Total Revenue Reciepts'!K7*100</f>
        <v>5.7009277508051719</v>
      </c>
      <c r="Q7" s="11">
        <f>+G7/'[5]Total Revenue Reciepts'!L7*100</f>
        <v>5.32376438375156</v>
      </c>
    </row>
    <row r="8" spans="1:17" ht="18.75" customHeight="1">
      <c r="A8" s="3">
        <v>3</v>
      </c>
      <c r="B8" s="6" t="s">
        <v>16</v>
      </c>
      <c r="C8" s="18">
        <f ca="1">+'SOTR (%GSDP)'!C8</f>
        <v>1958.15</v>
      </c>
      <c r="D8" s="18">
        <f ca="1">+'SOTR (%GSDP)'!D8</f>
        <v>2242.4899999999998</v>
      </c>
      <c r="E8" s="18">
        <f ca="1">+'SOTR (%GSDP)'!E8</f>
        <v>2574.5300000000002</v>
      </c>
      <c r="F8" s="18">
        <f ca="1">+'SOTR (%GSDP)'!F8</f>
        <v>3642.38</v>
      </c>
      <c r="G8" s="18">
        <f ca="1">+'SOTR (%GSDP)'!G8</f>
        <v>4039.82</v>
      </c>
      <c r="H8" s="439">
        <f>(C8/C$42)*100</f>
        <v>0.65454376011866189</v>
      </c>
      <c r="I8" s="439">
        <f t="shared" si="1"/>
        <v>0.67243208660520093</v>
      </c>
      <c r="J8" s="439">
        <f t="shared" si="1"/>
        <v>0.6856625698994151</v>
      </c>
      <c r="K8" s="439">
        <f t="shared" si="0"/>
        <v>0.76142973474697806</v>
      </c>
      <c r="L8" s="439">
        <f t="shared" si="0"/>
        <v>0.72371298213345314</v>
      </c>
      <c r="M8" s="11">
        <f>+C8/'[5]Total Revenue Reciepts'!H8*100</f>
        <v>5.7655389688778964</v>
      </c>
      <c r="N8" s="11">
        <f>+D8/'[5]Total Revenue Reciepts'!I8*100</f>
        <v>5.4058047875033139</v>
      </c>
      <c r="O8" s="11">
        <f>+E8/'[5]Total Revenue Reciepts'!J8*100</f>
        <v>5.4813387553492738</v>
      </c>
      <c r="P8" s="11">
        <f>+F8/'[5]Total Revenue Reciepts'!K8*100</f>
        <v>6.6594387055489532</v>
      </c>
      <c r="Q8" s="11">
        <f>+G8/'[5]Total Revenue Reciepts'!L8*100</f>
        <v>6.4038741994800583</v>
      </c>
    </row>
    <row r="9" spans="1:17" s="14" customFormat="1" ht="18.75" customHeight="1">
      <c r="A9" s="12">
        <v>4</v>
      </c>
      <c r="B9" s="13" t="s">
        <v>17</v>
      </c>
      <c r="C9" s="18">
        <f ca="1">+'SOTR (%GSDP)'!C9</f>
        <v>2558.8000000000002</v>
      </c>
      <c r="D9" s="18">
        <f ca="1">+'SOTR (%GSDP)'!D9</f>
        <v>2683.46</v>
      </c>
      <c r="E9" s="18">
        <f ca="1">+'SOTR (%GSDP)'!E9</f>
        <v>3027</v>
      </c>
      <c r="F9" s="18">
        <f ca="1">+'SOTR (%GSDP)'!F9</f>
        <v>3482.58</v>
      </c>
      <c r="G9" s="18">
        <f ca="1">+'SOTR (%GSDP)'!G9</f>
        <v>4183</v>
      </c>
      <c r="H9" s="439">
        <f>(C9/C$42)*100</f>
        <v>0.85532087602667417</v>
      </c>
      <c r="I9" s="439">
        <f t="shared" si="1"/>
        <v>0.80466116108504071</v>
      </c>
      <c r="J9" s="439">
        <f t="shared" si="1"/>
        <v>0.8061667951375705</v>
      </c>
      <c r="K9" s="439">
        <f t="shared" si="0"/>
        <v>0.72802397488321668</v>
      </c>
      <c r="L9" s="439">
        <f t="shared" si="0"/>
        <v>0.74936294296880424</v>
      </c>
      <c r="M9" s="11">
        <f>+C9/'[5]Total Revenue Reciepts'!H9*100</f>
        <v>6.897220949351734</v>
      </c>
      <c r="N9" s="11">
        <f>+D9/'[5]Total Revenue Reciepts'!I9*100</f>
        <v>6.341628264208909</v>
      </c>
      <c r="O9" s="11">
        <f>+E9/'[5]Total Revenue Reciepts'!J9*100</f>
        <v>6.2804738884162905</v>
      </c>
      <c r="P9" s="11">
        <f>+F9/'[5]Total Revenue Reciepts'!K9*100</f>
        <v>6.3630849061774866</v>
      </c>
      <c r="Q9" s="11">
        <f>+G9/'[5]Total Revenue Reciepts'!L9*100</f>
        <v>6.7072877415216867</v>
      </c>
    </row>
    <row r="10" spans="1:17" s="14" customFormat="1" ht="18.75" customHeight="1">
      <c r="A10" s="12">
        <v>5</v>
      </c>
      <c r="B10" s="13" t="s">
        <v>18</v>
      </c>
      <c r="C10" s="18">
        <f ca="1">+'SOTR (%GSDP)'!C10</f>
        <v>147.44999999999999</v>
      </c>
      <c r="D10" s="18">
        <f ca="1">+'SOTR (%GSDP)'!D10</f>
        <v>170.06</v>
      </c>
      <c r="E10" s="18">
        <f ca="1">+'SOTR (%GSDP)'!E10</f>
        <v>196.03</v>
      </c>
      <c r="F10" s="18">
        <f ca="1">+'SOTR (%GSDP)'!F10</f>
        <v>267.06</v>
      </c>
      <c r="G10" s="18">
        <f ca="1">+'SOTR (%GSDP)'!G10</f>
        <v>317.83999999999997</v>
      </c>
      <c r="H10" s="439">
        <f t="shared" ref="H10:H17" si="2">+(C10/C$42)*100</f>
        <v>4.9287581354593206E-2</v>
      </c>
      <c r="I10" s="439">
        <f t="shared" si="1"/>
        <v>5.0994118434454776E-2</v>
      </c>
      <c r="J10" s="439">
        <f t="shared" si="1"/>
        <v>5.2207755814607841E-2</v>
      </c>
      <c r="K10" s="439">
        <f t="shared" si="0"/>
        <v>5.5828174150288533E-2</v>
      </c>
      <c r="L10" s="439">
        <f t="shared" si="0"/>
        <v>5.6939401815253338E-2</v>
      </c>
      <c r="M10" s="11">
        <f>+C10/'[5]Total Revenue Reciepts'!H10*100</f>
        <v>2.1738168951791241</v>
      </c>
      <c r="N10" s="11">
        <f>+D10/'[5]Total Revenue Reciepts'!I10*100</f>
        <v>2.2984187052304366</v>
      </c>
      <c r="O10" s="11">
        <f>+E10/'[5]Total Revenue Reciepts'!J10*100</f>
        <v>2.3578301659850855</v>
      </c>
      <c r="P10" s="11">
        <f>+F10/'[5]Total Revenue Reciepts'!K10*100</f>
        <v>2.9034572733202872</v>
      </c>
      <c r="Q10" s="11">
        <f>+G10/'[5]Total Revenue Reciepts'!L10*100</f>
        <v>3.1197487239890065</v>
      </c>
    </row>
    <row r="11" spans="1:17" s="14" customFormat="1" ht="18.75" customHeight="1">
      <c r="A11" s="12">
        <v>6</v>
      </c>
      <c r="B11" s="13" t="s">
        <v>19</v>
      </c>
      <c r="C11" s="18">
        <f ca="1">+'SOTR (%GSDP)'!C11</f>
        <v>319.10000000000002</v>
      </c>
      <c r="D11" s="18">
        <f ca="1">+'SOTR (%GSDP)'!D11</f>
        <v>369.44</v>
      </c>
      <c r="E11" s="18">
        <f ca="1">+'SOTR (%GSDP)'!E11</f>
        <v>444.29</v>
      </c>
      <c r="F11" s="18">
        <f ca="1">+'SOTR (%GSDP)'!F11</f>
        <v>571.45000000000005</v>
      </c>
      <c r="G11" s="18">
        <f ca="1">+'SOTR (%GSDP)'!G11</f>
        <v>588.38</v>
      </c>
      <c r="H11" s="439">
        <f t="shared" si="2"/>
        <v>0.10666440969990297</v>
      </c>
      <c r="I11" s="439">
        <f t="shared" si="1"/>
        <v>0.11078011945445708</v>
      </c>
      <c r="J11" s="439">
        <f t="shared" si="1"/>
        <v>0.11832568398139122</v>
      </c>
      <c r="K11" s="439">
        <f t="shared" si="0"/>
        <v>0.11946008431881371</v>
      </c>
      <c r="L11" s="439">
        <f t="shared" si="0"/>
        <v>0.10540525182500241</v>
      </c>
      <c r="M11" s="11">
        <f>+C11/'[5]Total Revenue Reciepts'!H11*100</f>
        <v>3.277863379558295</v>
      </c>
      <c r="N11" s="11">
        <f>+D11/'[5]Total Revenue Reciepts'!I11*100</f>
        <v>3.1801669966428512</v>
      </c>
      <c r="O11" s="11">
        <f>+E11/'[5]Total Revenue Reciepts'!J11*100</f>
        <v>3.3617584745762716</v>
      </c>
      <c r="P11" s="11">
        <f>+F11/'[5]Total Revenue Reciepts'!K11*100</f>
        <v>3.7756854971919398</v>
      </c>
      <c r="Q11" s="11">
        <f>+G11/'[5]Total Revenue Reciepts'!L11*100</f>
        <v>3.3700670141474314</v>
      </c>
    </row>
    <row r="12" spans="1:17" s="14" customFormat="1" ht="18.75" customHeight="1">
      <c r="A12" s="12">
        <v>7</v>
      </c>
      <c r="B12" s="13" t="s">
        <v>20</v>
      </c>
      <c r="C12" s="18">
        <f ca="1">+'SOTR (%GSDP)'!C12</f>
        <v>77.52</v>
      </c>
      <c r="D12" s="18">
        <f ca="1">+'SOTR (%GSDP)'!D12</f>
        <v>94.61</v>
      </c>
      <c r="E12" s="18">
        <f ca="1">+'SOTR (%GSDP)'!E12</f>
        <v>107.58</v>
      </c>
      <c r="F12" s="18">
        <f ca="1">+'SOTR (%GSDP)'!F12</f>
        <v>130.06</v>
      </c>
      <c r="G12" s="18">
        <f ca="1">+'SOTR (%GSDP)'!G12</f>
        <v>149.79</v>
      </c>
      <c r="H12" s="439">
        <f t="shared" si="2"/>
        <v>2.5912331682658968E-2</v>
      </c>
      <c r="I12" s="439">
        <f t="shared" si="1"/>
        <v>2.8369713895588421E-2</v>
      </c>
      <c r="J12" s="439">
        <f t="shared" si="1"/>
        <v>2.8651279755830802E-2</v>
      </c>
      <c r="K12" s="439">
        <f t="shared" si="0"/>
        <v>2.718869291539926E-2</v>
      </c>
      <c r="L12" s="439">
        <f t="shared" si="0"/>
        <v>2.6834108349820029E-2</v>
      </c>
      <c r="M12" s="11">
        <f>+C12/'[5]Total Revenue Reciepts'!H12*100</f>
        <v>2.0314465408805034</v>
      </c>
      <c r="N12" s="11">
        <f>+D12/'[5]Total Revenue Reciepts'!I12*100</f>
        <v>2.0670745029495303</v>
      </c>
      <c r="O12" s="11">
        <f>+E12/'[5]Total Revenue Reciepts'!J12*100</f>
        <v>2.0359576078728239</v>
      </c>
      <c r="P12" s="11">
        <f>+F12/'[5]Total Revenue Reciepts'!K12*100</f>
        <v>2.1469131726642456</v>
      </c>
      <c r="Q12" s="11">
        <f>+G12/'[5]Total Revenue Reciepts'!L12*100</f>
        <v>2.2467952905346751</v>
      </c>
    </row>
    <row r="13" spans="1:17" s="14" customFormat="1" ht="18.75" customHeight="1">
      <c r="A13" s="12">
        <v>8</v>
      </c>
      <c r="B13" s="13" t="s">
        <v>21</v>
      </c>
      <c r="C13" s="18">
        <f ca="1">+'SOTR (%GSDP)'!C13</f>
        <v>131.36000000000001</v>
      </c>
      <c r="D13" s="18">
        <f ca="1">+'SOTR (%GSDP)'!D13</f>
        <v>156.02000000000001</v>
      </c>
      <c r="E13" s="18">
        <f ca="1">+'SOTR (%GSDP)'!E13</f>
        <v>156.41999999999999</v>
      </c>
      <c r="F13" s="18">
        <f ca="1">+'SOTR (%GSDP)'!F13</f>
        <v>214.79</v>
      </c>
      <c r="G13" s="18">
        <f ca="1">+'SOTR (%GSDP)'!G13</f>
        <v>251.19</v>
      </c>
      <c r="H13" s="439">
        <f t="shared" si="2"/>
        <v>4.3909234904980436E-2</v>
      </c>
      <c r="I13" s="439">
        <f t="shared" si="1"/>
        <v>4.6784090074936106E-2</v>
      </c>
      <c r="J13" s="439">
        <f t="shared" si="1"/>
        <v>4.1658609215533125E-2</v>
      </c>
      <c r="K13" s="439">
        <f t="shared" si="0"/>
        <v>4.4901271346291002E-2</v>
      </c>
      <c r="L13" s="439">
        <f t="shared" si="0"/>
        <v>4.4999396998406389E-2</v>
      </c>
      <c r="M13" s="11">
        <f>+C13/'[5]Total Revenue Reciepts'!H13*100</f>
        <v>1.6267492260061922</v>
      </c>
      <c r="N13" s="11">
        <f>+D13/'[5]Total Revenue Reciepts'!I13*100</f>
        <v>1.6534548537515896</v>
      </c>
      <c r="O13" s="11">
        <f>+E13/'[5]Total Revenue Reciepts'!J13*100</f>
        <v>1.5226321425094909</v>
      </c>
      <c r="P13" s="11">
        <f>+F13/'[5]Total Revenue Reciepts'!K13*100</f>
        <v>1.93139106195486</v>
      </c>
      <c r="Q13" s="11">
        <f>+G13/'[5]Total Revenue Reciepts'!L13*100</f>
        <v>2.0819726481558227</v>
      </c>
    </row>
    <row r="14" spans="1:17" s="14" customFormat="1" ht="18.75" customHeight="1">
      <c r="A14" s="12">
        <v>9</v>
      </c>
      <c r="B14" s="13" t="s">
        <v>22</v>
      </c>
      <c r="C14" s="18">
        <f ca="1">+'SOTR (%GSDP)'!C14</f>
        <v>197.85</v>
      </c>
      <c r="D14" s="18">
        <f ca="1">+'SOTR (%GSDP)'!D14</f>
        <v>199.19</v>
      </c>
      <c r="E14" s="18">
        <f ca="1">+'SOTR (%GSDP)'!E14</f>
        <v>223.65</v>
      </c>
      <c r="F14" s="18">
        <f ca="1">+'SOTR (%GSDP)'!F14</f>
        <v>279.54000000000002</v>
      </c>
      <c r="G14" s="18">
        <f ca="1">+'SOTR (%GSDP)'!G14</f>
        <v>269.11</v>
      </c>
      <c r="H14" s="439">
        <f t="shared" si="2"/>
        <v>6.6134608145176438E-2</v>
      </c>
      <c r="I14" s="439">
        <f t="shared" si="1"/>
        <v>5.9729027701746713E-2</v>
      </c>
      <c r="J14" s="439">
        <f t="shared" si="1"/>
        <v>5.9563661622899784E-2</v>
      </c>
      <c r="K14" s="439">
        <f t="shared" si="0"/>
        <v>5.843708455767116E-2</v>
      </c>
      <c r="L14" s="439">
        <f t="shared" si="0"/>
        <v>4.8209672862140791E-2</v>
      </c>
      <c r="M14" s="11">
        <f>+C14/'[5]Total Revenue Reciepts'!H14*100</f>
        <v>7.8950518754988028</v>
      </c>
      <c r="N14" s="11">
        <f>+D14/'[5]Total Revenue Reciepts'!I14*100</f>
        <v>6.1687829049241252</v>
      </c>
      <c r="O14" s="11">
        <f>+E14/'[5]Total Revenue Reciepts'!J14*100</f>
        <v>4.7183544303797467</v>
      </c>
      <c r="P14" s="11">
        <f>+F14/'[5]Total Revenue Reciepts'!K14*100</f>
        <v>4.9458598726114653</v>
      </c>
      <c r="Q14" s="11">
        <f>+G14/'[5]Total Revenue Reciepts'!L14*100</f>
        <v>4.2902535820293428</v>
      </c>
    </row>
    <row r="15" spans="1:17" s="14" customFormat="1" ht="18.75" customHeight="1">
      <c r="A15" s="12">
        <v>10</v>
      </c>
      <c r="B15" s="13" t="s">
        <v>23</v>
      </c>
      <c r="C15" s="18">
        <f ca="1">+'SOTR (%GSDP)'!C15</f>
        <v>370.7</v>
      </c>
      <c r="D15" s="18">
        <f ca="1">+'SOTR (%GSDP)'!D15</f>
        <v>442.5</v>
      </c>
      <c r="E15" s="18">
        <f ca="1">+'SOTR (%GSDP)'!E15</f>
        <v>527.01</v>
      </c>
      <c r="F15" s="18">
        <f ca="1">+'SOTR (%GSDP)'!F15</f>
        <v>622.34</v>
      </c>
      <c r="G15" s="18">
        <f ca="1">+'SOTR (%GSDP)'!G15</f>
        <v>783.45</v>
      </c>
      <c r="H15" s="439">
        <f t="shared" si="2"/>
        <v>0.12391255617597628</v>
      </c>
      <c r="I15" s="439">
        <f t="shared" si="1"/>
        <v>0.13268785962158203</v>
      </c>
      <c r="J15" s="439">
        <f t="shared" si="1"/>
        <v>0.14035611585908525</v>
      </c>
      <c r="K15" s="439">
        <f t="shared" si="0"/>
        <v>0.1300985018373795</v>
      </c>
      <c r="L15" s="439">
        <f t="shared" si="0"/>
        <v>0.14035103936622273</v>
      </c>
      <c r="M15" s="11">
        <f>+C15/'[5]Total Revenue Reciepts'!H15*100</f>
        <v>3.1423243197423076</v>
      </c>
      <c r="N15" s="11">
        <f>+D15/'[5]Total Revenue Reciepts'!I15*100</f>
        <v>3.2601488248729096</v>
      </c>
      <c r="O15" s="11">
        <f>+E15/'[5]Total Revenue Reciepts'!J15*100</f>
        <v>3.4337372947615323</v>
      </c>
      <c r="P15" s="11">
        <f>+F15/'[5]Total Revenue Reciepts'!K15*100</f>
        <v>3.5793408868695002</v>
      </c>
      <c r="Q15" s="11">
        <f>+G15/'[5]Total Revenue Reciepts'!L15*100</f>
        <v>3.9706553139729364</v>
      </c>
    </row>
    <row r="16" spans="1:17" s="14" customFormat="1" ht="18.75" customHeight="1">
      <c r="A16" s="12">
        <v>11</v>
      </c>
      <c r="B16" s="13" t="s">
        <v>24</v>
      </c>
      <c r="C16" s="18">
        <f ca="1">+'SOTR (%GSDP)'!C16</f>
        <v>2738.77</v>
      </c>
      <c r="D16" s="18">
        <f ca="1">+'SOTR (%GSDP)'!D16</f>
        <v>3044.98</v>
      </c>
      <c r="E16" s="18">
        <f ca="1">+'SOTR (%GSDP)'!E16</f>
        <v>3559.11</v>
      </c>
      <c r="F16" s="18">
        <f ca="1">+'SOTR (%GSDP)'!F16</f>
        <v>4405.4799999999996</v>
      </c>
      <c r="G16" s="18">
        <f ca="1">+'SOTR (%GSDP)'!G16</f>
        <v>4759.74</v>
      </c>
      <c r="H16" s="439">
        <f t="shared" si="2"/>
        <v>0.91547880085804845</v>
      </c>
      <c r="I16" s="439">
        <f t="shared" si="1"/>
        <v>0.91306639274694867</v>
      </c>
      <c r="J16" s="439">
        <f t="shared" si="1"/>
        <v>0.94788117021542084</v>
      </c>
      <c r="K16" s="439">
        <f t="shared" si="0"/>
        <v>0.92095373569839412</v>
      </c>
      <c r="L16" s="439">
        <f t="shared" si="0"/>
        <v>0.85268294864124694</v>
      </c>
      <c r="M16" s="11">
        <f>+C16/'[5]Total Revenue Reciepts'!H16*100</f>
        <v>5.9725444870900208</v>
      </c>
      <c r="N16" s="11">
        <f>+D16/'[5]Total Revenue Reciepts'!I16*100</f>
        <v>5.4333892437814493</v>
      </c>
      <c r="O16" s="11">
        <f>+E16/'[5]Total Revenue Reciepts'!J16*100</f>
        <v>5.3601054216867468</v>
      </c>
      <c r="P16" s="11">
        <f>+F16/'[5]Total Revenue Reciepts'!K16*100</f>
        <v>5.836928295087179</v>
      </c>
      <c r="Q16" s="11">
        <f>+G16/'[5]Total Revenue Reciepts'!L16*100</f>
        <v>5.4490440755580991</v>
      </c>
    </row>
    <row r="17" spans="1:17" s="17" customFormat="1" ht="18.75" customHeight="1">
      <c r="A17" s="15"/>
      <c r="B17" s="5" t="s">
        <v>25</v>
      </c>
      <c r="C17" s="78">
        <f ca="1">SUM(C6:C16)</f>
        <v>11956.480000000003</v>
      </c>
      <c r="D17" s="78">
        <f ca="1">SUM(D6:D16)</f>
        <v>13688.92</v>
      </c>
      <c r="E17" s="78">
        <f ca="1">SUM(E6:E16)</f>
        <v>15017.280000000002</v>
      </c>
      <c r="F17" s="78">
        <f ca="1">SUM(F6:F16)</f>
        <v>19760.46</v>
      </c>
      <c r="G17" s="78">
        <f ca="1">SUM(G6:G16)</f>
        <v>21737.47</v>
      </c>
      <c r="H17" s="440">
        <f t="shared" si="2"/>
        <v>3.9966495809736644</v>
      </c>
      <c r="I17" s="440">
        <f t="shared" si="1"/>
        <v>4.1047536617651224</v>
      </c>
      <c r="J17" s="440">
        <f t="shared" si="1"/>
        <v>3.9994821570147132</v>
      </c>
      <c r="K17" s="440">
        <f t="shared" si="0"/>
        <v>4.130870973450949</v>
      </c>
      <c r="L17" s="440">
        <f t="shared" si="0"/>
        <v>3.8941559865876392</v>
      </c>
      <c r="M17" s="11">
        <f>+C17/'[5]Total Revenue Reciepts'!H17*100</f>
        <v>5.0767166561932111</v>
      </c>
      <c r="N17" s="11">
        <f>+D17/'[5]Total Revenue Reciepts'!I17*100</f>
        <v>4.952002662499277</v>
      </c>
      <c r="O17" s="11">
        <f>+E17/'[5]Total Revenue Reciepts'!J17*100</f>
        <v>4.7140691166268534</v>
      </c>
      <c r="P17" s="11">
        <f>+F17/'[5]Total Revenue Reciepts'!K17*100</f>
        <v>5.4632030323388658</v>
      </c>
      <c r="Q17" s="11">
        <f>+G17/'[5]Total Revenue Reciepts'!L17*100</f>
        <v>5.3025149174946344</v>
      </c>
    </row>
    <row r="18" spans="1:17" s="14" customFormat="1" ht="18.75" customHeight="1">
      <c r="A18" s="12"/>
      <c r="B18" s="5" t="s">
        <v>26</v>
      </c>
      <c r="C18" s="18"/>
      <c r="D18" s="18"/>
      <c r="E18" s="18"/>
      <c r="F18" s="18"/>
      <c r="G18" s="18"/>
      <c r="H18" s="439"/>
      <c r="I18" s="439"/>
      <c r="J18" s="439"/>
      <c r="K18" s="439"/>
      <c r="L18" s="439"/>
      <c r="M18" s="18"/>
      <c r="N18" s="18"/>
      <c r="O18" s="19"/>
      <c r="P18" s="19"/>
      <c r="Q18" s="19"/>
    </row>
    <row r="19" spans="1:17" ht="18.75" customHeight="1">
      <c r="A19" s="3">
        <v>12</v>
      </c>
      <c r="B19" s="6" t="s">
        <v>27</v>
      </c>
      <c r="C19" s="18">
        <f ca="1">+'SOTR (%GSDP)'!C19</f>
        <v>28794</v>
      </c>
      <c r="D19" s="18">
        <f ca="1">+'SOTR (%GSDP)'!D19</f>
        <v>33357.839999999997</v>
      </c>
      <c r="E19" s="18">
        <f ca="1">+'SOTR (%GSDP)'!E19</f>
        <v>35175.71</v>
      </c>
      <c r="F19" s="18">
        <f ca="1">+'SOTR (%GSDP)'!F19</f>
        <v>45139.55</v>
      </c>
      <c r="G19" s="18">
        <f ca="1">+'SOTR (%GSDP)'!G19</f>
        <v>56438.31</v>
      </c>
      <c r="H19" s="439">
        <f t="shared" ref="H19:L34" si="3">+(C19/C$42)*100</f>
        <v>9.6248668533343977</v>
      </c>
      <c r="I19" s="439">
        <f t="shared" si="3"/>
        <v>10.002667550732641</v>
      </c>
      <c r="J19" s="439">
        <f t="shared" si="3"/>
        <v>9.3681828204124837</v>
      </c>
      <c r="K19" s="439">
        <f t="shared" si="3"/>
        <v>9.4363014246448618</v>
      </c>
      <c r="L19" s="439">
        <f t="shared" si="3"/>
        <v>10.110633057084794</v>
      </c>
      <c r="M19" s="11">
        <f>+C19/'[5]Total Revenue Reciepts'!H19*100</f>
        <v>7.8928108373330987</v>
      </c>
      <c r="N19" s="11">
        <f>+D19/'[5]Total Revenue Reciepts'!I19*100</f>
        <v>7.8164423043126776</v>
      </c>
      <c r="O19" s="11">
        <f>+E19/'[5]Total Revenue Reciepts'!J19*100</f>
        <v>7.1727000413938509</v>
      </c>
      <c r="P19" s="11">
        <f>+F19/'[5]Total Revenue Reciepts'!K19*100</f>
        <v>7.6642420661399786</v>
      </c>
      <c r="Q19" s="11">
        <f>+G19/'[5]Total Revenue Reciepts'!L19*100</f>
        <v>8.3459734352309987</v>
      </c>
    </row>
    <row r="20" spans="1:17" ht="18.75" customHeight="1">
      <c r="A20" s="3">
        <v>13</v>
      </c>
      <c r="B20" s="6" t="s">
        <v>28</v>
      </c>
      <c r="C20" s="18">
        <f ca="1">+'SOTR (%GSDP)'!C20</f>
        <v>5086.17</v>
      </c>
      <c r="D20" s="18">
        <f ca="1">+'SOTR (%GSDP)'!D20</f>
        <v>6172.74</v>
      </c>
      <c r="E20" s="18">
        <f ca="1">+'SOTR (%GSDP)'!E20</f>
        <v>8089.67</v>
      </c>
      <c r="F20" s="18">
        <f ca="1">+'SOTR (%GSDP)'!F20</f>
        <v>9869.85</v>
      </c>
      <c r="G20" s="18">
        <f ca="1">+'SOTR (%GSDP)'!G20</f>
        <v>12582.9</v>
      </c>
      <c r="H20" s="439">
        <f t="shared" si="3"/>
        <v>1.7001357589575539</v>
      </c>
      <c r="I20" s="439">
        <f t="shared" si="3"/>
        <v>1.8509551606791506</v>
      </c>
      <c r="J20" s="439">
        <f t="shared" si="3"/>
        <v>2.1544840890718699</v>
      </c>
      <c r="K20" s="439">
        <f t="shared" si="3"/>
        <v>2.0632655756654885</v>
      </c>
      <c r="L20" s="439">
        <f t="shared" si="3"/>
        <v>2.2541618396084546</v>
      </c>
      <c r="M20" s="11">
        <f>+C20/'[5]Total Revenue Reciepts'!H20*100</f>
        <v>4.2768598168562848</v>
      </c>
      <c r="N20" s="11">
        <f>+D20/'[5]Total Revenue Reciepts'!I20*100</f>
        <v>4.0703857566765578</v>
      </c>
      <c r="O20" s="11">
        <f>+E20/'[5]Total Revenue Reciepts'!J20*100</f>
        <v>4.5566107346637601</v>
      </c>
      <c r="P20" s="11">
        <f>+F20/'[5]Total Revenue Reciepts'!K20*100</f>
        <v>4.5313203008071108</v>
      </c>
      <c r="Q20" s="11">
        <f>+G20/'[5]Total Revenue Reciepts'!L20*100</f>
        <v>4.7984212332685043</v>
      </c>
    </row>
    <row r="21" spans="1:17" ht="18.75" customHeight="1">
      <c r="A21" s="3">
        <v>14</v>
      </c>
      <c r="B21" s="6" t="s">
        <v>29</v>
      </c>
      <c r="C21" s="18">
        <f ca="1">+'SOTR (%GSDP)'!C21</f>
        <v>5618.08</v>
      </c>
      <c r="D21" s="18">
        <f ca="1">+'SOTR (%GSDP)'!D21</f>
        <v>6593.72</v>
      </c>
      <c r="E21" s="18">
        <f ca="1">+'SOTR (%GSDP)'!E21</f>
        <v>7123.26</v>
      </c>
      <c r="F21" s="18">
        <f ca="1">+'SOTR (%GSDP)'!F21</f>
        <v>9005.14</v>
      </c>
      <c r="G21" s="18">
        <f ca="1">+'SOTR (%GSDP)'!G21</f>
        <v>9830.4500000000007</v>
      </c>
      <c r="H21" s="439">
        <f t="shared" si="3"/>
        <v>1.8779354022150765</v>
      </c>
      <c r="I21" s="439">
        <f t="shared" si="3"/>
        <v>1.9771900423593625</v>
      </c>
      <c r="J21" s="439">
        <f t="shared" si="3"/>
        <v>1.8971046201293857</v>
      </c>
      <c r="K21" s="439">
        <f t="shared" si="3"/>
        <v>1.8825002777193487</v>
      </c>
      <c r="L21" s="439">
        <f t="shared" si="3"/>
        <v>1.761074573920077</v>
      </c>
      <c r="M21" s="11">
        <f>+C21/'[5]Total Revenue Reciepts'!H21*100</f>
        <v>7.0002865865055135</v>
      </c>
      <c r="N21" s="11">
        <f>+D21/'[5]Total Revenue Reciepts'!I21*100</f>
        <v>6.7996122592088444</v>
      </c>
      <c r="O21" s="11">
        <f>+E21/'[5]Total Revenue Reciepts'!J21*100</f>
        <v>7.1762205073441994</v>
      </c>
      <c r="P21" s="11">
        <f>+F21/'[5]Total Revenue Reciepts'!K21*100</f>
        <v>7.6595813451053445</v>
      </c>
      <c r="Q21" s="11">
        <f>+G21/'[5]Total Revenue Reciepts'!L21*100</f>
        <v>7.2530176484476456</v>
      </c>
    </row>
    <row r="22" spans="1:17" s="20" customFormat="1" ht="18.75" customHeight="1">
      <c r="A22" s="3">
        <v>15</v>
      </c>
      <c r="B22" s="6" t="s">
        <v>30</v>
      </c>
      <c r="C22" s="18">
        <f ca="1">+'SOTR (%GSDP)'!C22</f>
        <v>1358.92</v>
      </c>
      <c r="D22" s="18">
        <f ca="1">+'SOTR (%GSDP)'!D22</f>
        <v>1680.12</v>
      </c>
      <c r="E22" s="18">
        <f ca="1">+'SOTR (%GSDP)'!E22</f>
        <v>1955.03</v>
      </c>
      <c r="F22" s="18">
        <f ca="1">+'SOTR (%GSDP)'!F22</f>
        <v>2501.71</v>
      </c>
      <c r="G22" s="18">
        <f ca="1">+'SOTR (%GSDP)'!G22</f>
        <v>3196.53</v>
      </c>
      <c r="H22" s="439">
        <f t="shared" si="3"/>
        <v>0.45424130250514622</v>
      </c>
      <c r="I22" s="439">
        <f t="shared" si="3"/>
        <v>0.50380006035573421</v>
      </c>
      <c r="J22" s="439">
        <f t="shared" si="3"/>
        <v>0.52067402362002124</v>
      </c>
      <c r="K22" s="439">
        <f t="shared" si="3"/>
        <v>0.5229757416068237</v>
      </c>
      <c r="L22" s="439">
        <f t="shared" si="3"/>
        <v>0.572641914436546</v>
      </c>
      <c r="M22" s="11">
        <f>+C22/'[5]Total Revenue Reciepts'!H22*100</f>
        <v>6.945668285203169</v>
      </c>
      <c r="N22" s="11">
        <f>+D22/'[5]Total Revenue Reciepts'!I22*100</f>
        <v>6.6110018100259698</v>
      </c>
      <c r="O22" s="11">
        <f>+E22/'[5]Total Revenue Reciepts'!J22*100</f>
        <v>6.6231790771732495</v>
      </c>
      <c r="P22" s="11">
        <f>+F22/'[5]Total Revenue Reciepts'!K22*100</f>
        <v>6.9619580341737626</v>
      </c>
      <c r="Q22" s="11">
        <f>+G22/'[5]Total Revenue Reciepts'!L22*100</f>
        <v>7.1896761133603242</v>
      </c>
    </row>
    <row r="23" spans="1:17" ht="18.75" customHeight="1">
      <c r="A23" s="3">
        <v>16</v>
      </c>
      <c r="B23" s="6" t="s">
        <v>31</v>
      </c>
      <c r="C23" s="18">
        <f ca="1">+'SOTR (%GSDP)'!C23</f>
        <v>21885.01</v>
      </c>
      <c r="D23" s="18">
        <f ca="1">+'SOTR (%GSDP)'!D23</f>
        <v>23556.7</v>
      </c>
      <c r="E23" s="18">
        <f ca="1">+'SOTR (%GSDP)'!E23</f>
        <v>26740.25</v>
      </c>
      <c r="F23" s="18">
        <f ca="1">+'SOTR (%GSDP)'!F23</f>
        <v>36338.629999999997</v>
      </c>
      <c r="G23" s="18">
        <f ca="1">+'SOTR (%GSDP)'!G23</f>
        <v>39045.9</v>
      </c>
      <c r="H23" s="439">
        <f t="shared" si="3"/>
        <v>7.3154236067893246</v>
      </c>
      <c r="I23" s="439">
        <f t="shared" si="3"/>
        <v>7.0637019271134944</v>
      </c>
      <c r="J23" s="439">
        <f t="shared" si="3"/>
        <v>7.1216060930549787</v>
      </c>
      <c r="K23" s="439">
        <f t="shared" si="3"/>
        <v>7.5964927882232427</v>
      </c>
      <c r="L23" s="439">
        <f t="shared" si="3"/>
        <v>6.9948722292291734</v>
      </c>
      <c r="M23" s="11">
        <f>+C23/'[5]Total Revenue Reciepts'!H23*100</f>
        <v>6.6462213583977396</v>
      </c>
      <c r="N23" s="11">
        <f>+D23/'[5]Total Revenue Reciepts'!I23*100</f>
        <v>6.4028082802409276</v>
      </c>
      <c r="O23" s="11">
        <f>+E23/'[5]Total Revenue Reciepts'!J23*100</f>
        <v>6.2542246026826955</v>
      </c>
      <c r="P23" s="11">
        <f>+F23/'[5]Total Revenue Reciepts'!K23*100</f>
        <v>7.0811656108174041</v>
      </c>
      <c r="Q23" s="11">
        <f>+G23/'[5]Total Revenue Reciepts'!L23*100</f>
        <v>6.6597117250451339</v>
      </c>
    </row>
    <row r="24" spans="1:17" ht="18.75" customHeight="1">
      <c r="A24" s="3">
        <v>17</v>
      </c>
      <c r="B24" s="6" t="s">
        <v>32</v>
      </c>
      <c r="C24" s="18">
        <f ca="1">+'SOTR (%GSDP)'!C24</f>
        <v>11618</v>
      </c>
      <c r="D24" s="18">
        <f ca="1">+'SOTR (%GSDP)'!D24</f>
        <v>11655.28</v>
      </c>
      <c r="E24" s="18">
        <f ca="1">+'SOTR (%GSDP)'!E24</f>
        <v>13220</v>
      </c>
      <c r="F24" s="18">
        <f ca="1">+'SOTR (%GSDP)'!F24</f>
        <v>16790</v>
      </c>
      <c r="G24" s="18">
        <f ca="1">+'SOTR (%GSDP)'!G24</f>
        <v>20007</v>
      </c>
      <c r="H24" s="439">
        <f t="shared" si="3"/>
        <v>3.8835070883530958</v>
      </c>
      <c r="I24" s="439">
        <f t="shared" si="3"/>
        <v>3.4949472463056104</v>
      </c>
      <c r="J24" s="439">
        <f t="shared" si="3"/>
        <v>3.5208209553084515</v>
      </c>
      <c r="K24" s="439">
        <f t="shared" si="3"/>
        <v>3.5099043060860646</v>
      </c>
      <c r="L24" s="439">
        <f t="shared" si="3"/>
        <v>3.5841511833556936</v>
      </c>
      <c r="M24" s="11">
        <f>+C24/'[5]Total Revenue Reciepts'!H24*100</f>
        <v>7.6632345472174759</v>
      </c>
      <c r="N24" s="11">
        <f>+D24/'[5]Total Revenue Reciepts'!I24*100</f>
        <v>6.3863848067418445</v>
      </c>
      <c r="O24" s="11">
        <f>+E24/'[5]Total Revenue Reciepts'!J24*100</f>
        <v>5.9541235232917922</v>
      </c>
      <c r="P24" s="11">
        <f>+F24/'[5]Total Revenue Reciepts'!K24*100</f>
        <v>6.356261049634865</v>
      </c>
      <c r="Q24" s="11">
        <f>+G24/'[5]Total Revenue Reciepts'!L24*100</f>
        <v>6.4679335070443473</v>
      </c>
    </row>
    <row r="25" spans="1:17" ht="18.75" customHeight="1">
      <c r="A25" s="3">
        <v>18</v>
      </c>
      <c r="B25" s="6" t="s">
        <v>33</v>
      </c>
      <c r="C25" s="18">
        <f ca="1">+'SOTR (%GSDP)'!C25</f>
        <v>3473.35</v>
      </c>
      <c r="D25" s="18">
        <f ca="1">+'SOTR (%GSDP)'!D25</f>
        <v>3746.19</v>
      </c>
      <c r="E25" s="18">
        <f ca="1">+'SOTR (%GSDP)'!E25</f>
        <v>4500.12</v>
      </c>
      <c r="F25" s="18">
        <f ca="1">+'SOTR (%GSDP)'!F25</f>
        <v>5716.63</v>
      </c>
      <c r="G25" s="18">
        <f ca="1">+'SOTR (%GSDP)'!G25</f>
        <v>7420.02</v>
      </c>
      <c r="H25" s="439">
        <f t="shared" si="3"/>
        <v>1.1610242163307991</v>
      </c>
      <c r="I25" s="439">
        <f t="shared" si="3"/>
        <v>1.1233309216627669</v>
      </c>
      <c r="J25" s="439">
        <f t="shared" si="3"/>
        <v>1.1984959755977811</v>
      </c>
      <c r="K25" s="439">
        <f t="shared" si="3"/>
        <v>1.1950461139547814</v>
      </c>
      <c r="L25" s="439">
        <f t="shared" si="3"/>
        <v>1.3292584327246919</v>
      </c>
      <c r="M25" s="11">
        <f>+C25/'[5]Total Revenue Reciepts'!H25*100</f>
        <v>4.1374032162001191</v>
      </c>
      <c r="N25" s="11">
        <f>+D25/'[5]Total Revenue Reciepts'!I25*100</f>
        <v>4.267022803380641</v>
      </c>
      <c r="O25" s="11">
        <f>+E25/'[5]Total Revenue Reciepts'!J25*100</f>
        <v>4.6717119810644991</v>
      </c>
      <c r="P25" s="11">
        <f>+F25/'[5]Total Revenue Reciepts'!K25*100</f>
        <v>5.3578672115168331</v>
      </c>
      <c r="Q25" s="11">
        <f>+G25/'[5]Total Revenue Reciepts'!L25*100</f>
        <v>6.2151508552091537</v>
      </c>
    </row>
    <row r="26" spans="1:17" ht="18.75" customHeight="1">
      <c r="A26" s="3">
        <v>19</v>
      </c>
      <c r="B26" s="6" t="s">
        <v>34</v>
      </c>
      <c r="C26" s="18">
        <f ca="1">+'SOTR (%GSDP)'!C26</f>
        <v>25987</v>
      </c>
      <c r="D26" s="18">
        <f ca="1">+'SOTR (%GSDP)'!D26</f>
        <v>27645.66</v>
      </c>
      <c r="E26" s="18">
        <f ca="1">+'SOTR (%GSDP)'!E26</f>
        <v>30579</v>
      </c>
      <c r="F26" s="18">
        <f ca="1">+'SOTR (%GSDP)'!F26</f>
        <v>38473</v>
      </c>
      <c r="G26" s="18">
        <f ca="1">+'SOTR (%GSDP)'!G26</f>
        <v>43817</v>
      </c>
      <c r="H26" s="439">
        <f t="shared" si="3"/>
        <v>8.6865810556921925</v>
      </c>
      <c r="I26" s="439">
        <f t="shared" si="3"/>
        <v>8.2898157135050514</v>
      </c>
      <c r="J26" s="439">
        <f t="shared" si="3"/>
        <v>8.1439624805126432</v>
      </c>
      <c r="K26" s="439">
        <f t="shared" si="3"/>
        <v>8.0426770916050732</v>
      </c>
      <c r="L26" s="439">
        <f t="shared" si="3"/>
        <v>7.8495902634626091</v>
      </c>
      <c r="M26" s="11">
        <f>+C26/'[5]Total Revenue Reciepts'!H26*100</f>
        <v>9.60244467518263</v>
      </c>
      <c r="N26" s="11">
        <f>+D26/'[5]Total Revenue Reciepts'!I26*100</f>
        <v>8.9088735353639503</v>
      </c>
      <c r="O26" s="11">
        <f>+E26/'[5]Total Revenue Reciepts'!J26*100</f>
        <v>8.8574192726135159</v>
      </c>
      <c r="P26" s="11">
        <f>+F26/'[5]Total Revenue Reciepts'!K26*100</f>
        <v>9.4966220135613142</v>
      </c>
      <c r="Q26" s="11">
        <f>+G26/'[5]Total Revenue Reciepts'!L26*100</f>
        <v>9.4118379901708078</v>
      </c>
    </row>
    <row r="27" spans="1:17" ht="18.75" customHeight="1">
      <c r="A27" s="3">
        <v>20</v>
      </c>
      <c r="B27" s="6" t="s">
        <v>35</v>
      </c>
      <c r="C27" s="18">
        <f ca="1">+'SOTR (%GSDP)'!C27</f>
        <v>13668.95</v>
      </c>
      <c r="D27" s="18">
        <f ca="1">+'SOTR (%GSDP)'!D27</f>
        <v>15990.18</v>
      </c>
      <c r="E27" s="18">
        <f ca="1">+'SOTR (%GSDP)'!E27</f>
        <v>17625.02</v>
      </c>
      <c r="F27" s="18">
        <f ca="1">+'SOTR (%GSDP)'!F27</f>
        <v>21721.73</v>
      </c>
      <c r="G27" s="18">
        <f ca="1">+'SOTR (%GSDP)'!G27</f>
        <v>26641.53</v>
      </c>
      <c r="H27" s="439">
        <f t="shared" si="3"/>
        <v>4.5690707708163236</v>
      </c>
      <c r="I27" s="439">
        <f t="shared" si="3"/>
        <v>4.7948084952854879</v>
      </c>
      <c r="J27" s="439">
        <f t="shared" si="3"/>
        <v>4.6939893913563209</v>
      </c>
      <c r="K27" s="439">
        <f t="shared" si="3"/>
        <v>4.5408691877688421</v>
      </c>
      <c r="L27" s="439">
        <f t="shared" si="3"/>
        <v>4.7726931212028898</v>
      </c>
      <c r="M27" s="11">
        <f>+C27/'[5]Total Revenue Reciepts'!H27*100</f>
        <v>7.8045403417817658</v>
      </c>
      <c r="N27" s="11">
        <f>+D27/'[5]Total Revenue Reciepts'!I27*100</f>
        <v>7.8853651440209491</v>
      </c>
      <c r="O27" s="11">
        <f>+E27/'[5]Total Revenue Reciepts'!J27*100</f>
        <v>7.5845357408738243</v>
      </c>
      <c r="P27" s="11">
        <f>+F27/'[5]Total Revenue Reciepts'!K27*100</f>
        <v>7.8418647133362454</v>
      </c>
      <c r="Q27" s="11">
        <f>+G27/'[5]Total Revenue Reciepts'!L27*100</f>
        <v>8.1549130223175883</v>
      </c>
    </row>
    <row r="28" spans="1:17" ht="18.75" customHeight="1">
      <c r="A28" s="3">
        <v>21</v>
      </c>
      <c r="B28" s="6" t="s">
        <v>36</v>
      </c>
      <c r="C28" s="18">
        <f ca="1">+'SOTR (%GSDP)'!C28</f>
        <v>12017.63</v>
      </c>
      <c r="D28" s="18">
        <f ca="1">+'SOTR (%GSDP)'!D28</f>
        <v>13613.5</v>
      </c>
      <c r="E28" s="18">
        <f ca="1">+'SOTR (%GSDP)'!E28</f>
        <v>17272.8</v>
      </c>
      <c r="F28" s="18">
        <f ca="1">+'SOTR (%GSDP)'!F28</f>
        <v>21419.35</v>
      </c>
      <c r="G28" s="18">
        <f ca="1">+'SOTR (%GSDP)'!G28</f>
        <v>23118.31</v>
      </c>
      <c r="H28" s="439">
        <f t="shared" si="3"/>
        <v>4.0170899716134283</v>
      </c>
      <c r="I28" s="439">
        <f t="shared" si="3"/>
        <v>4.0821382530133485</v>
      </c>
      <c r="J28" s="439">
        <f t="shared" si="3"/>
        <v>4.6001842811536928</v>
      </c>
      <c r="K28" s="439">
        <f t="shared" si="3"/>
        <v>4.477657462689967</v>
      </c>
      <c r="L28" s="439">
        <f t="shared" si="3"/>
        <v>4.1415263729536553</v>
      </c>
      <c r="M28" s="11">
        <f>+C28/'[5]Total Revenue Reciepts'!H28*100</f>
        <v>7.4422246855628291</v>
      </c>
      <c r="N28" s="11">
        <f>+D28/'[5]Total Revenue Reciepts'!I28*100</f>
        <v>6.9260159954415021</v>
      </c>
      <c r="O28" s="11">
        <f>+E28/'[5]Total Revenue Reciepts'!J28*100</f>
        <v>7.6113759947826241</v>
      </c>
      <c r="P28" s="11">
        <f>+F28/'[5]Total Revenue Reciepts'!K28*100</f>
        <v>8.2412861721488397</v>
      </c>
      <c r="Q28" s="11">
        <f>+G28/'[5]Total Revenue Reciepts'!L28*100</f>
        <v>8.0113268509954274</v>
      </c>
    </row>
    <row r="29" spans="1:17" s="14" customFormat="1" ht="18.75" customHeight="1">
      <c r="A29" s="12">
        <v>22</v>
      </c>
      <c r="B29" s="13" t="s">
        <v>37</v>
      </c>
      <c r="C29" s="18">
        <f ca="1">+'SOTR (%GSDP)'!C29</f>
        <v>47528.36</v>
      </c>
      <c r="D29" s="18">
        <f ca="1">+'SOTR (%GSDP)'!D29</f>
        <v>52031.05</v>
      </c>
      <c r="E29" s="18">
        <f ca="1">+'SOTR (%GSDP)'!E29</f>
        <v>59106.3</v>
      </c>
      <c r="F29" s="18">
        <f ca="1">+'SOTR (%GSDP)'!F29</f>
        <v>75027.100000000006</v>
      </c>
      <c r="G29" s="18">
        <f ca="1">+'SOTR (%GSDP)'!G29</f>
        <v>83686.06</v>
      </c>
      <c r="H29" s="439">
        <f t="shared" si="3"/>
        <v>15.887134012549295</v>
      </c>
      <c r="I29" s="439">
        <f t="shared" si="3"/>
        <v>15.602008267488172</v>
      </c>
      <c r="J29" s="439">
        <f t="shared" si="3"/>
        <v>15.741505267076242</v>
      </c>
      <c r="K29" s="439">
        <f t="shared" si="3"/>
        <v>15.68421330334424</v>
      </c>
      <c r="L29" s="439">
        <f t="shared" si="3"/>
        <v>14.991927374387743</v>
      </c>
      <c r="M29" s="11">
        <f>+C29/'[5]Total Revenue Reciepts'!H29*100</f>
        <v>6.9997172328881714</v>
      </c>
      <c r="N29" s="11">
        <f>+D29/'[5]Total Revenue Reciepts'!I29*100</f>
        <v>6.8793747206921818</v>
      </c>
      <c r="O29" s="11">
        <f>+E29/'[5]Total Revenue Reciepts'!J29*100</f>
        <v>6.5576758789788432</v>
      </c>
      <c r="P29" s="11">
        <f>+F29/'[5]Total Revenue Reciepts'!K29*100</f>
        <v>7.2868657496302047</v>
      </c>
      <c r="Q29" s="11">
        <f>+G29/'[5]Total Revenue Reciepts'!L29*100</f>
        <v>7.1334482426465202</v>
      </c>
    </row>
    <row r="30" spans="1:17" s="14" customFormat="1" ht="18.75" customHeight="1">
      <c r="A30" s="12">
        <v>23</v>
      </c>
      <c r="B30" s="13" t="s">
        <v>104</v>
      </c>
      <c r="C30" s="18">
        <f ca="1">+'SOTR (%GSDP)'!C30</f>
        <v>6856.09</v>
      </c>
      <c r="D30" s="18">
        <f ca="1">+'SOTR (%GSDP)'!D30</f>
        <v>7995.21</v>
      </c>
      <c r="E30" s="18">
        <f ca="1">+'SOTR (%GSDP)'!E30</f>
        <v>8982.34</v>
      </c>
      <c r="F30" s="18">
        <f ca="1">+'SOTR (%GSDP)'!F30</f>
        <v>11192.66</v>
      </c>
      <c r="G30" s="18">
        <f ca="1">+'SOTR (%GSDP)'!G30</f>
        <v>12305.83</v>
      </c>
      <c r="H30" s="439">
        <f>+(C30/C$42)*100</f>
        <v>2.2917605537430519</v>
      </c>
      <c r="I30" s="439">
        <f t="shared" si="3"/>
        <v>2.397440230791116</v>
      </c>
      <c r="J30" s="439">
        <f t="shared" si="3"/>
        <v>2.3922247276630344</v>
      </c>
      <c r="K30" s="439">
        <f t="shared" si="3"/>
        <v>2.3397954455364656</v>
      </c>
      <c r="L30" s="439">
        <f t="shared" si="3"/>
        <v>2.2045261736729143</v>
      </c>
      <c r="M30" s="11">
        <f>+C30/'[5]Total Revenue Reciepts'!H30*100</f>
        <v>5.3035335798381729</v>
      </c>
      <c r="N30" s="11">
        <f>+D30/'[5]Total Revenue Reciepts'!I30*100</f>
        <v>5.3843061195628019</v>
      </c>
      <c r="O30" s="11">
        <f>+E30/'[5]Total Revenue Reciepts'!J30*100</f>
        <v>5.4861690496985842</v>
      </c>
      <c r="P30" s="11">
        <f>+F30/'[5]Total Revenue Reciepts'!K30*100</f>
        <v>5.7390015792604139</v>
      </c>
      <c r="Q30" s="11">
        <f>+G30/'[5]Total Revenue Reciepts'!L30*100</f>
        <v>5.4393774642408816</v>
      </c>
    </row>
    <row r="31" spans="1:17" s="21" customFormat="1" ht="18.75" customHeight="1">
      <c r="A31" s="12">
        <v>24</v>
      </c>
      <c r="B31" s="13" t="s">
        <v>39</v>
      </c>
      <c r="C31" s="18">
        <f ca="1">+'SOTR (%GSDP)'!C31</f>
        <v>9899.25</v>
      </c>
      <c r="D31" s="18">
        <f ca="1">+'SOTR (%GSDP)'!D31</f>
        <v>11150.61</v>
      </c>
      <c r="E31" s="18">
        <f ca="1">+'SOTR (%GSDP)'!E31</f>
        <v>12039.48</v>
      </c>
      <c r="F31" s="18">
        <f ca="1">+'SOTR (%GSDP)'!F31</f>
        <v>16828.18</v>
      </c>
      <c r="G31" s="18">
        <f ca="1">+'SOTR (%GSDP)'!G31</f>
        <v>20407.7</v>
      </c>
      <c r="H31" s="439">
        <f t="shared" ref="H31:L42" si="4">+(C31/C$42)*100</f>
        <v>3.308986705489704</v>
      </c>
      <c r="I31" s="439">
        <f t="shared" si="3"/>
        <v>3.3436171172316587</v>
      </c>
      <c r="J31" s="439">
        <f t="shared" si="3"/>
        <v>3.2064185684581692</v>
      </c>
      <c r="K31" s="439">
        <f t="shared" si="3"/>
        <v>3.5178857323163428</v>
      </c>
      <c r="L31" s="439">
        <f t="shared" si="3"/>
        <v>3.6559345281435491</v>
      </c>
      <c r="M31" s="11">
        <f>+C31/'[5]Total Revenue Reciepts'!H31*100</f>
        <v>6.5021839797694509</v>
      </c>
      <c r="N31" s="11">
        <f>+D31/'[5]Total Revenue Reciepts'!I31*100</f>
        <v>6.4069605088514638</v>
      </c>
      <c r="O31" s="11">
        <f>+E31/'[5]Total Revenue Reciepts'!J31*100</f>
        <v>6.0082642153486843</v>
      </c>
      <c r="P31" s="11">
        <f>+F31/'[5]Total Revenue Reciepts'!K31*100</f>
        <v>7.3388078707741693</v>
      </c>
      <c r="Q31" s="11">
        <f>+G31/'[5]Total Revenue Reciepts'!L31*100</f>
        <v>7.866542802516344</v>
      </c>
    </row>
    <row r="32" spans="1:17" s="14" customFormat="1" ht="18.75" customHeight="1">
      <c r="A32" s="12">
        <v>25</v>
      </c>
      <c r="B32" s="13" t="s">
        <v>40</v>
      </c>
      <c r="C32" s="18">
        <f ca="1">+'SOTR (%GSDP)'!C32</f>
        <v>13274.73</v>
      </c>
      <c r="D32" s="18">
        <f ca="1">+'SOTR (%GSDP)'!D32</f>
        <v>14943.5</v>
      </c>
      <c r="E32" s="18">
        <f ca="1">+'SOTR (%GSDP)'!E32</f>
        <v>16414.27</v>
      </c>
      <c r="F32" s="18">
        <f ca="1">+'SOTR (%GSDP)'!F32</f>
        <v>20758.13</v>
      </c>
      <c r="G32" s="18">
        <f ca="1">+'SOTR (%GSDP)'!G32</f>
        <v>21349.45</v>
      </c>
      <c r="H32" s="439">
        <f t="shared" si="4"/>
        <v>4.437296268804741</v>
      </c>
      <c r="I32" s="439">
        <f t="shared" si="3"/>
        <v>4.4809514808025108</v>
      </c>
      <c r="J32" s="439">
        <f t="shared" si="3"/>
        <v>4.3715359895681436</v>
      </c>
      <c r="K32" s="439">
        <f t="shared" si="3"/>
        <v>4.3394312015065122</v>
      </c>
      <c r="L32" s="439">
        <f t="shared" si="3"/>
        <v>3.8246441986051489</v>
      </c>
      <c r="M32" s="11">
        <f>+C32/'[5]Total Revenue Reciepts'!H32*100</f>
        <v>6.8137735984642385</v>
      </c>
      <c r="N32" s="11">
        <f>+D32/'[5]Total Revenue Reciepts'!I32*100</f>
        <v>6.4704761657335599</v>
      </c>
      <c r="O32" s="11">
        <f>+E32/'[5]Total Revenue Reciepts'!J32*100</f>
        <v>6.2350507866807465</v>
      </c>
      <c r="P32" s="11">
        <f>+F32/'[5]Total Revenue Reciepts'!K32*100</f>
        <v>6.4131246099566859</v>
      </c>
      <c r="Q32" s="11">
        <f>+G32/'[5]Total Revenue Reciepts'!L32*100</f>
        <v>5.9229616426069391</v>
      </c>
    </row>
    <row r="33" spans="1:17" s="14" customFormat="1" ht="18.75" customHeight="1">
      <c r="A33" s="12">
        <v>26</v>
      </c>
      <c r="B33" s="13" t="s">
        <v>41</v>
      </c>
      <c r="C33" s="18">
        <f ca="1">+'SOTR (%GSDP)'!C33</f>
        <v>29619.1</v>
      </c>
      <c r="D33" s="18">
        <f ca="1">+'SOTR (%GSDP)'!D33</f>
        <v>33684.370000000003</v>
      </c>
      <c r="E33" s="18">
        <f ca="1">+'SOTR (%GSDP)'!E33</f>
        <v>36546.67</v>
      </c>
      <c r="F33" s="18">
        <f ca="1">+'SOTR (%GSDP)'!F33</f>
        <v>47782.18</v>
      </c>
      <c r="G33" s="18">
        <f ca="1">+'SOTR (%GSDP)'!G33</f>
        <v>55709.58</v>
      </c>
      <c r="H33" s="439">
        <f t="shared" si="4"/>
        <v>9.900670063749283</v>
      </c>
      <c r="I33" s="439">
        <f t="shared" si="3"/>
        <v>10.100580696048429</v>
      </c>
      <c r="J33" s="439">
        <f t="shared" si="3"/>
        <v>9.7333042044434723</v>
      </c>
      <c r="K33" s="439">
        <f t="shared" si="3"/>
        <v>9.9887361129350474</v>
      </c>
      <c r="L33" s="439">
        <f t="shared" si="3"/>
        <v>9.980084824373904</v>
      </c>
      <c r="M33" s="11">
        <f>+C33/'[5]Total Revenue Reciepts'!H33*100</f>
        <v>8.4428437456352139</v>
      </c>
      <c r="N33" s="11">
        <f>+D33/'[5]Total Revenue Reciepts'!I33*100</f>
        <v>8.3930596806665747</v>
      </c>
      <c r="O33" s="11">
        <f>+E33/'[5]Total Revenue Reciepts'!J33*100</f>
        <v>7.7181000128822701</v>
      </c>
      <c r="P33" s="11">
        <f>+F33/'[5]Total Revenue Reciepts'!K33*100</f>
        <v>8.7310544944241109</v>
      </c>
      <c r="Q33" s="11">
        <f>+G33/'[5]Total Revenue Reciepts'!L33*100</f>
        <v>8.7725543426912154</v>
      </c>
    </row>
    <row r="34" spans="1:17" s="14" customFormat="1" ht="18.75" customHeight="1">
      <c r="A34" s="12">
        <v>27</v>
      </c>
      <c r="B34" s="13" t="s">
        <v>42</v>
      </c>
      <c r="C34" s="18">
        <f ca="1">+'SOTR (%GSDP)'!C34</f>
        <v>24959.32</v>
      </c>
      <c r="D34" s="18">
        <f ca="1">+'SOTR (%GSDP)'!D34</f>
        <v>28659</v>
      </c>
      <c r="E34" s="18">
        <f ca="1">+'SOTR (%GSDP)'!E34</f>
        <v>33877.57</v>
      </c>
      <c r="F34" s="18">
        <f ca="1">+'SOTR (%GSDP)'!F34</f>
        <v>41354.83</v>
      </c>
      <c r="G34" s="18">
        <f ca="1">+'SOTR (%GSDP)'!G34</f>
        <v>50866.44</v>
      </c>
      <c r="H34" s="439">
        <f t="shared" si="4"/>
        <v>8.3430621570384904</v>
      </c>
      <c r="I34" s="439">
        <f t="shared" si="3"/>
        <v>8.5936754099320201</v>
      </c>
      <c r="J34" s="439">
        <f t="shared" si="3"/>
        <v>9.0224552474227622</v>
      </c>
      <c r="K34" s="439">
        <f t="shared" si="3"/>
        <v>8.64511589603676</v>
      </c>
      <c r="L34" s="439">
        <f t="shared" si="3"/>
        <v>9.1124611945364826</v>
      </c>
      <c r="M34" s="11">
        <f>+C34/'[5]Total Revenue Reciepts'!H34*100</f>
        <v>6.5163513704030533</v>
      </c>
      <c r="N34" s="11">
        <f>+D34/'[5]Total Revenue Reciepts'!I34*100</f>
        <v>6.4447867591666013</v>
      </c>
      <c r="O34" s="11">
        <f>+E34/'[5]Total Revenue Reciepts'!J34*100</f>
        <v>6.4908263560247539</v>
      </c>
      <c r="P34" s="11">
        <f>+F34/'[5]Total Revenue Reciepts'!K34*100</f>
        <v>6.9497491828486444</v>
      </c>
      <c r="Q34" s="11">
        <f>+G34/'[5]Total Revenue Reciepts'!L34*100</f>
        <v>7.5236975341784955</v>
      </c>
    </row>
    <row r="35" spans="1:17" s="14" customFormat="1" ht="18.75" customHeight="1">
      <c r="A35" s="12">
        <v>28</v>
      </c>
      <c r="B35" s="13" t="s">
        <v>43</v>
      </c>
      <c r="C35" s="18">
        <f ca="1">+'SOTR (%GSDP)'!C35</f>
        <v>13126.34</v>
      </c>
      <c r="D35" s="18">
        <f ca="1">+'SOTR (%GSDP)'!D35</f>
        <v>14419.15</v>
      </c>
      <c r="E35" s="18">
        <f ca="1">+'SOTR (%GSDP)'!E35</f>
        <v>16899.98</v>
      </c>
      <c r="F35" s="18">
        <f ca="1">+'SOTR (%GSDP)'!F35</f>
        <v>21128.74</v>
      </c>
      <c r="G35" s="18">
        <f ca="1">+'SOTR (%GSDP)'!G35</f>
        <v>27690</v>
      </c>
      <c r="H35" s="439">
        <f t="shared" si="4"/>
        <v>4.3876944770298483</v>
      </c>
      <c r="I35" s="439">
        <f t="shared" si="4"/>
        <v>4.3237201153955578</v>
      </c>
      <c r="J35" s="439">
        <f t="shared" si="4"/>
        <v>4.5008928690086023</v>
      </c>
      <c r="K35" s="439">
        <f t="shared" si="4"/>
        <v>4.4169062244295949</v>
      </c>
      <c r="L35" s="439">
        <f t="shared" si="4"/>
        <v>4.9605211309601218</v>
      </c>
      <c r="M35" s="11">
        <f>+C35/'[5]Total Revenue Reciepts'!H35*100</f>
        <v>4.3830000367299649</v>
      </c>
      <c r="N35" s="11">
        <f>+D35/'[5]Total Revenue Reciepts'!I35*100</f>
        <v>4.216840867749502</v>
      </c>
      <c r="O35" s="11">
        <f>+E35/'[5]Total Revenue Reciepts'!J35*100</f>
        <v>4.1672062670911139</v>
      </c>
      <c r="P35" s="11">
        <f>+F35/'[5]Total Revenue Reciepts'!K35*100</f>
        <v>4.4585747747367535</v>
      </c>
      <c r="Q35" s="11">
        <f>+G35/'[5]Total Revenue Reciepts'!L35*100</f>
        <v>5.035680771664885</v>
      </c>
    </row>
    <row r="36" spans="1:17" s="17" customFormat="1" ht="18.75" customHeight="1">
      <c r="A36" s="15"/>
      <c r="B36" s="5" t="s">
        <v>44</v>
      </c>
      <c r="C36" s="78">
        <f ca="1">SUM(C19:C35)</f>
        <v>274770.30000000005</v>
      </c>
      <c r="D36" s="78">
        <f ca="1">SUM(D19:D35)</f>
        <v>306894.82</v>
      </c>
      <c r="E36" s="78">
        <f ca="1">SUM(E19:E35)</f>
        <v>346147.47</v>
      </c>
      <c r="F36" s="78">
        <f ca="1">SUM(F19:F35)</f>
        <v>441047.41000000003</v>
      </c>
      <c r="G36" s="78">
        <f ca="1">SUM(G19:G35)</f>
        <v>514113.01000000007</v>
      </c>
      <c r="H36" s="440">
        <f t="shared" si="4"/>
        <v>91.846480265011763</v>
      </c>
      <c r="I36" s="440">
        <f t="shared" si="4"/>
        <v>92.02534868870211</v>
      </c>
      <c r="J36" s="440">
        <f t="shared" si="4"/>
        <v>92.187841603858047</v>
      </c>
      <c r="K36" s="440">
        <f t="shared" si="4"/>
        <v>92.199773886069465</v>
      </c>
      <c r="L36" s="440">
        <f t="shared" si="4"/>
        <v>92.10070241265845</v>
      </c>
      <c r="M36" s="11">
        <f>+C36/'[5]Total Revenue Reciepts'!H36*100</f>
        <v>6.9662273852020133</v>
      </c>
      <c r="N36" s="11">
        <f>+D36/'[5]Total Revenue Reciepts'!I36*100</f>
        <v>6.7502225917421113</v>
      </c>
      <c r="O36" s="11">
        <f>+E36/'[5]Total Revenue Reciepts'!J36*100</f>
        <v>6.5596932660082601</v>
      </c>
      <c r="P36" s="11">
        <f>+F36/'[5]Total Revenue Reciepts'!K36*100</f>
        <v>7.1364977898651913</v>
      </c>
      <c r="Q36" s="11">
        <f>+G36/'[5]Total Revenue Reciepts'!L36*100</f>
        <v>7.2465878757470907</v>
      </c>
    </row>
    <row r="37" spans="1:17" s="14" customFormat="1" ht="18.75" customHeight="1">
      <c r="A37" s="12"/>
      <c r="B37" s="5" t="s">
        <v>45</v>
      </c>
      <c r="C37" s="18"/>
      <c r="D37" s="18"/>
      <c r="E37" s="18"/>
      <c r="F37" s="18"/>
      <c r="G37" s="18"/>
      <c r="H37" s="439"/>
      <c r="I37" s="439"/>
      <c r="J37" s="439"/>
      <c r="K37" s="439"/>
      <c r="L37" s="439"/>
      <c r="M37" s="11"/>
      <c r="N37" s="11"/>
      <c r="O37" s="11"/>
      <c r="P37" s="11"/>
      <c r="Q37" s="11"/>
    </row>
    <row r="38" spans="1:17" s="14" customFormat="1" ht="18.75" customHeight="1">
      <c r="A38" s="12">
        <v>29</v>
      </c>
      <c r="B38" s="13" t="s">
        <v>46</v>
      </c>
      <c r="C38" s="18">
        <f ca="1">+'SOTR (%GSDP)'!C38</f>
        <v>11782.8</v>
      </c>
      <c r="D38" s="18">
        <f ca="1">+'SOTR (%GSDP)'!D38</f>
        <v>12180.7</v>
      </c>
      <c r="E38" s="18">
        <f ca="1">+'SOTR (%GSDP)'!E38</f>
        <v>13447.86</v>
      </c>
      <c r="F38" s="18">
        <f ca="1">+'SOTR (%GSDP)'!F38</f>
        <v>16477.75</v>
      </c>
      <c r="G38" s="18">
        <f ca="1">+'SOTR (%GSDP)'!G38</f>
        <v>20128</v>
      </c>
      <c r="H38" s="439">
        <f t="shared" si="4"/>
        <v>3.9385941918270655</v>
      </c>
      <c r="I38" s="439">
        <f t="shared" si="4"/>
        <v>3.6524994614522126</v>
      </c>
      <c r="J38" s="439">
        <f t="shared" si="4"/>
        <v>3.5815058466001748</v>
      </c>
      <c r="K38" s="439">
        <f t="shared" si="4"/>
        <v>3.4446292840744284</v>
      </c>
      <c r="L38" s="439">
        <f t="shared" si="4"/>
        <v>3.6058277112302397</v>
      </c>
      <c r="M38" s="11">
        <f>+C38/'[5]Total Revenue Reciepts'!H38*100</f>
        <v>7.4599707496818546</v>
      </c>
      <c r="N38" s="11">
        <f>+D38/'[5]Total Revenue Reciepts'!I38*100</f>
        <v>6.4266908664981832</v>
      </c>
      <c r="O38" s="11">
        <f>+E38/'[5]Total Revenue Reciepts'!J38*100</f>
        <v>6.0099750177646492</v>
      </c>
      <c r="P38" s="11">
        <f>+F38/'[5]Total Revenue Reciepts'!K38*100</f>
        <v>6.2298673703950156</v>
      </c>
      <c r="Q38" s="11">
        <f>+G38/'[5]Total Revenue Reciepts'!L38*100</f>
        <v>6.4115387310708618</v>
      </c>
    </row>
    <row r="39" spans="1:17" s="14" customFormat="1" ht="18.75" customHeight="1">
      <c r="A39" s="12">
        <v>30</v>
      </c>
      <c r="B39" s="13" t="s">
        <v>47</v>
      </c>
      <c r="C39" s="18">
        <f ca="1">+'SOTR (%GSDP)'!C39</f>
        <v>653</v>
      </c>
      <c r="D39" s="18">
        <f ca="1">+'SOTR (%GSDP)'!D39</f>
        <v>725</v>
      </c>
      <c r="E39" s="18">
        <f ca="1">+'SOTR (%GSDP)'!E39</f>
        <v>868</v>
      </c>
      <c r="F39" s="18">
        <f ca="1">+'SOTR (%GSDP)'!F39</f>
        <v>1075</v>
      </c>
      <c r="G39" s="18">
        <f ca="1">+'SOTR (%GSDP)'!G39</f>
        <v>2229</v>
      </c>
      <c r="H39" s="439">
        <f t="shared" si="4"/>
        <v>0.21827596218751688</v>
      </c>
      <c r="I39" s="439">
        <f t="shared" si="4"/>
        <v>0.21739818808055811</v>
      </c>
      <c r="J39" s="439">
        <f t="shared" si="4"/>
        <v>0.2311703925270602</v>
      </c>
      <c r="K39" s="439">
        <f t="shared" si="4"/>
        <v>0.22472585640515305</v>
      </c>
      <c r="L39" s="439">
        <f t="shared" si="4"/>
        <v>0.39931388952365876</v>
      </c>
      <c r="M39" s="11">
        <f>+C39/'[5]Total Revenue Reciepts'!H39*100</f>
        <v>7.0586963571505787</v>
      </c>
      <c r="N39" s="11">
        <f>+D39/'[5]Total Revenue Reciepts'!I39*100</f>
        <v>7.2139303482587067</v>
      </c>
      <c r="O39" s="11">
        <f>+E39/'[5]Total Revenue Reciepts'!J39*100</f>
        <v>7.6516220028208748</v>
      </c>
      <c r="P39" s="11">
        <f>+F39/'[5]Total Revenue Reciepts'!K39*100</f>
        <v>8.3146415035965671</v>
      </c>
      <c r="Q39" s="11">
        <f>+G39/'[5]Total Revenue Reciepts'!L39*100</f>
        <v>16.241620518799184</v>
      </c>
    </row>
    <row r="40" spans="1:17" s="17" customFormat="1" ht="18.75" customHeight="1">
      <c r="A40" s="15"/>
      <c r="B40" s="5" t="s">
        <v>48</v>
      </c>
      <c r="C40" s="78">
        <f>SUM(C38:C39)</f>
        <v>12435.8</v>
      </c>
      <c r="D40" s="78">
        <f>SUM(D38:D39)</f>
        <v>12905.7</v>
      </c>
      <c r="E40" s="78">
        <f>SUM(E38:E39)</f>
        <v>14315.86</v>
      </c>
      <c r="F40" s="78">
        <f>SUM(F38:F39)</f>
        <v>17552.75</v>
      </c>
      <c r="G40" s="78">
        <f>SUM(G38:G39)</f>
        <v>22357</v>
      </c>
      <c r="H40" s="440">
        <f t="shared" si="4"/>
        <v>4.156870154014582</v>
      </c>
      <c r="I40" s="440">
        <f t="shared" si="4"/>
        <v>3.869897649532771</v>
      </c>
      <c r="J40" s="440">
        <f t="shared" si="4"/>
        <v>3.8126762391272351</v>
      </c>
      <c r="K40" s="440">
        <f t="shared" si="4"/>
        <v>3.6693551404795821</v>
      </c>
      <c r="L40" s="440">
        <f t="shared" si="4"/>
        <v>4.0051416007538982</v>
      </c>
      <c r="M40" s="11">
        <f>+C40/'[5]Total Revenue Reciepts'!H40*100</f>
        <v>7.4377683943587831</v>
      </c>
      <c r="N40" s="11">
        <f>+D40/'[5]Total Revenue Reciepts'!I40*100</f>
        <v>6.4663323028514448</v>
      </c>
      <c r="O40" s="11">
        <f>+E40/'[5]Total Revenue Reciepts'!J40*100</f>
        <v>6.0891864416872608</v>
      </c>
      <c r="P40" s="11">
        <f>+F40/'[5]Total Revenue Reciepts'!K40*100</f>
        <v>6.3270253221591428</v>
      </c>
      <c r="Q40" s="11">
        <f>+G40/'[5]Total Revenue Reciepts'!L40*100</f>
        <v>6.8232730468964595</v>
      </c>
    </row>
    <row r="41" spans="1:17" s="17" customFormat="1">
      <c r="A41" s="15"/>
      <c r="B41" s="5"/>
      <c r="C41" s="18"/>
      <c r="D41" s="18"/>
      <c r="E41" s="18"/>
      <c r="F41" s="18"/>
      <c r="G41" s="18"/>
      <c r="H41" s="439"/>
      <c r="I41" s="439"/>
      <c r="J41" s="439"/>
      <c r="K41" s="439"/>
      <c r="L41" s="439"/>
      <c r="M41" s="11"/>
      <c r="N41" s="11"/>
      <c r="O41" s="11"/>
      <c r="P41" s="11"/>
      <c r="Q41" s="11"/>
    </row>
    <row r="42" spans="1:17" s="17" customFormat="1">
      <c r="A42" s="15"/>
      <c r="B42" s="5" t="s">
        <v>49</v>
      </c>
      <c r="C42" s="78">
        <f>+C17+C36+C40</f>
        <v>299162.58</v>
      </c>
      <c r="D42" s="78">
        <f>+D17+D36+D40</f>
        <v>333489.44</v>
      </c>
      <c r="E42" s="78">
        <f>+E17+E36+E40</f>
        <v>375480.61</v>
      </c>
      <c r="F42" s="78">
        <f>+F17+F36+F40</f>
        <v>478360.62000000005</v>
      </c>
      <c r="G42" s="78">
        <f>+G17+G36+G40</f>
        <v>558207.4800000001</v>
      </c>
      <c r="H42" s="440">
        <f>+(C42/C$42)*100</f>
        <v>100</v>
      </c>
      <c r="I42" s="440">
        <f t="shared" si="4"/>
        <v>100</v>
      </c>
      <c r="J42" s="440">
        <f>+(E42/E$42)*100</f>
        <v>100</v>
      </c>
      <c r="K42" s="440">
        <f>+(F42/F$42)*100</f>
        <v>100</v>
      </c>
      <c r="L42" s="440">
        <f>+(G42/G$42)*100</f>
        <v>100</v>
      </c>
      <c r="M42" s="11">
        <f>+C42/'[5]Total Revenue Reciepts'!H42*100</f>
        <v>6.8819931015032321</v>
      </c>
      <c r="N42" s="11">
        <f>+D42/'[5]Total Revenue Reciepts'!I42*100</f>
        <v>6.6399687005657597</v>
      </c>
      <c r="O42" s="11">
        <f>+E42/'[5]Total Revenue Reciepts'!J42*100</f>
        <v>6.4398820969064507</v>
      </c>
      <c r="P42" s="11">
        <f>+F42/'[5]Total Revenue Reciepts'!K42*100</f>
        <v>7.014813561290528</v>
      </c>
      <c r="Q42" s="11">
        <f>+G42/'[5]Total Revenue Reciepts'!L42*100</f>
        <v>7.1271229314998585</v>
      </c>
    </row>
    <row r="43" spans="1:17" s="14" customFormat="1">
      <c r="A43" s="22"/>
      <c r="B43" s="23" t="s">
        <v>198</v>
      </c>
      <c r="C43" s="24"/>
      <c r="D43" s="24"/>
      <c r="E43" s="24"/>
      <c r="F43" s="24"/>
      <c r="G43" s="24"/>
      <c r="H43" s="24"/>
      <c r="I43" s="24" t="s">
        <v>308</v>
      </c>
      <c r="J43" s="24"/>
      <c r="K43" s="24"/>
      <c r="L43" s="24"/>
      <c r="M43" s="24"/>
      <c r="N43" s="24"/>
    </row>
    <row r="44" spans="1:17" s="14" customFormat="1">
      <c r="A44" s="25"/>
    </row>
  </sheetData>
  <mergeCells count="7">
    <mergeCell ref="A1:N1"/>
    <mergeCell ref="O1:P1"/>
    <mergeCell ref="A2:A4"/>
    <mergeCell ref="C2:G2"/>
    <mergeCell ref="H2:L2"/>
    <mergeCell ref="M2:Q2"/>
    <mergeCell ref="B2:B3"/>
  </mergeCells>
  <phoneticPr fontId="63" type="noConversion"/>
  <printOptions horizontalCentered="1"/>
  <pageMargins left="0.35433070866141736" right="0.35433070866141736" top="0.78740157480314965" bottom="0.19685039370078741" header="0" footer="0"/>
  <pageSetup paperSize="9" scale="66" orientation="landscape" verticalDpi="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59"/>
  <sheetViews>
    <sheetView workbookViewId="0">
      <pane xSplit="2" ySplit="3" topLeftCell="C19" activePane="bottomRight" state="frozen"/>
      <selection pane="topRight" activeCell="C1" sqref="C1"/>
      <selection pane="bottomLeft" activeCell="A2" sqref="A2"/>
      <selection pane="bottomRight" activeCell="B31" sqref="B31"/>
    </sheetView>
  </sheetViews>
  <sheetFormatPr defaultRowHeight="14.25"/>
  <cols>
    <col min="1" max="1" width="5.42578125" style="27" customWidth="1"/>
    <col min="2" max="2" width="41.85546875" style="27" customWidth="1"/>
    <col min="3" max="4" width="10.85546875" style="27" customWidth="1"/>
    <col min="5" max="7" width="10.85546875" style="41" customWidth="1"/>
    <col min="8" max="9" width="10.85546875" style="27" customWidth="1"/>
    <col min="10" max="11" width="10.85546875" style="41" customWidth="1"/>
    <col min="12" max="12" width="12.5703125" style="41" customWidth="1"/>
    <col min="13" max="17" width="10.85546875" style="27" customWidth="1"/>
    <col min="18" max="16384" width="9.140625" style="27"/>
  </cols>
  <sheetData>
    <row r="1" spans="1:17" ht="22.5" customHeight="1">
      <c r="A1" s="602" t="s">
        <v>239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</row>
    <row r="2" spans="1:17" ht="45.75" customHeight="1">
      <c r="A2" s="603" t="s">
        <v>51</v>
      </c>
      <c r="B2" s="604" t="s">
        <v>313</v>
      </c>
      <c r="C2" s="606" t="s">
        <v>52</v>
      </c>
      <c r="D2" s="607"/>
      <c r="E2" s="607"/>
      <c r="F2" s="607"/>
      <c r="G2" s="28"/>
      <c r="H2" s="606" t="s">
        <v>53</v>
      </c>
      <c r="I2" s="607"/>
      <c r="J2" s="607"/>
      <c r="K2" s="607"/>
      <c r="L2" s="608"/>
      <c r="M2" s="609" t="s">
        <v>54</v>
      </c>
      <c r="N2" s="609"/>
      <c r="O2" s="609"/>
      <c r="P2" s="609"/>
      <c r="Q2" s="609"/>
    </row>
    <row r="3" spans="1:17" s="29" customFormat="1" ht="34.5" customHeight="1">
      <c r="A3" s="603"/>
      <c r="B3" s="605"/>
      <c r="C3" s="2" t="s">
        <v>55</v>
      </c>
      <c r="D3" s="2" t="s">
        <v>56</v>
      </c>
      <c r="E3" s="1" t="s">
        <v>7</v>
      </c>
      <c r="F3" s="1" t="s">
        <v>8</v>
      </c>
      <c r="G3" s="1" t="s">
        <v>57</v>
      </c>
      <c r="H3" s="2" t="s">
        <v>55</v>
      </c>
      <c r="I3" s="2" t="s">
        <v>56</v>
      </c>
      <c r="J3" s="1" t="s">
        <v>7</v>
      </c>
      <c r="K3" s="1" t="s">
        <v>8</v>
      </c>
      <c r="L3" s="1" t="s">
        <v>9</v>
      </c>
      <c r="M3" s="441" t="s">
        <v>55</v>
      </c>
      <c r="N3" s="441" t="s">
        <v>56</v>
      </c>
      <c r="O3" s="441" t="s">
        <v>7</v>
      </c>
      <c r="P3" s="441" t="s">
        <v>8</v>
      </c>
      <c r="Q3" s="437" t="s">
        <v>9</v>
      </c>
    </row>
    <row r="4" spans="1:17" s="33" customFormat="1" ht="18" customHeight="1">
      <c r="A4" s="603"/>
      <c r="B4" s="129">
        <v>41129</v>
      </c>
      <c r="C4" s="30" t="s">
        <v>10</v>
      </c>
      <c r="D4" s="30" t="s">
        <v>10</v>
      </c>
      <c r="E4" s="31" t="s">
        <v>10</v>
      </c>
      <c r="F4" s="31" t="s">
        <v>58</v>
      </c>
      <c r="G4" s="32" t="s">
        <v>12</v>
      </c>
      <c r="H4" s="30" t="s">
        <v>10</v>
      </c>
      <c r="I4" s="30" t="s">
        <v>10</v>
      </c>
      <c r="J4" s="31" t="s">
        <v>10</v>
      </c>
      <c r="K4" s="31" t="s">
        <v>58</v>
      </c>
      <c r="L4" s="32" t="s">
        <v>12</v>
      </c>
      <c r="M4" s="442" t="s">
        <v>10</v>
      </c>
      <c r="N4" s="442" t="s">
        <v>10</v>
      </c>
      <c r="O4" s="442" t="s">
        <v>10</v>
      </c>
      <c r="P4" s="443" t="s">
        <v>58</v>
      </c>
      <c r="Q4" s="437" t="s">
        <v>12</v>
      </c>
    </row>
    <row r="5" spans="1:17" ht="20.25" customHeight="1">
      <c r="A5" s="34"/>
      <c r="B5" s="35" t="s">
        <v>13</v>
      </c>
      <c r="C5" s="35"/>
      <c r="D5" s="35"/>
      <c r="E5" s="36"/>
      <c r="F5" s="36"/>
      <c r="G5" s="36"/>
      <c r="H5" s="35"/>
      <c r="I5" s="35"/>
      <c r="J5" s="36"/>
      <c r="K5" s="36"/>
      <c r="L5" s="36"/>
      <c r="M5" s="444"/>
      <c r="N5" s="444"/>
      <c r="O5" s="444"/>
      <c r="P5" s="445"/>
      <c r="Q5" s="445"/>
    </row>
    <row r="6" spans="1:17" ht="20.25" customHeight="1">
      <c r="A6" s="37">
        <v>1</v>
      </c>
      <c r="B6" s="34" t="s">
        <v>59</v>
      </c>
      <c r="C6" s="85">
        <v>167.34</v>
      </c>
      <c r="D6" s="85">
        <v>230</v>
      </c>
      <c r="E6" s="18">
        <v>226.98</v>
      </c>
      <c r="F6" s="18">
        <v>229.91</v>
      </c>
      <c r="G6" s="18">
        <v>268.31</v>
      </c>
      <c r="H6" s="85">
        <v>3002.98</v>
      </c>
      <c r="I6" s="85">
        <v>3833.31</v>
      </c>
      <c r="J6" s="85">
        <v>4294.83</v>
      </c>
      <c r="K6" s="85">
        <v>5358.93</v>
      </c>
      <c r="L6" s="85">
        <v>6125.85</v>
      </c>
      <c r="M6" s="446">
        <f>C6/H6*100</f>
        <v>5.5724646850794874</v>
      </c>
      <c r="N6" s="446">
        <f>D6/I6*100</f>
        <v>6.0000365219614382</v>
      </c>
      <c r="O6" s="446">
        <f>E6/J6*100</f>
        <v>5.2849588924357889</v>
      </c>
      <c r="P6" s="446">
        <f>F6/K6*100</f>
        <v>4.2902221152356903</v>
      </c>
      <c r="Q6" s="446">
        <f>G6/L6*100</f>
        <v>4.3799635968885946</v>
      </c>
    </row>
    <row r="7" spans="1:17" ht="20.25" customHeight="1">
      <c r="A7" s="37">
        <v>2</v>
      </c>
      <c r="B7" s="34" t="s">
        <v>15</v>
      </c>
      <c r="C7" s="18">
        <v>1512.74</v>
      </c>
      <c r="D7" s="18">
        <v>1590.06</v>
      </c>
      <c r="E7" s="18">
        <v>1832.58</v>
      </c>
      <c r="F7" s="18">
        <v>1912.12</v>
      </c>
      <c r="G7" s="18">
        <v>2217.42</v>
      </c>
      <c r="H7" s="85">
        <v>15324.93</v>
      </c>
      <c r="I7" s="85">
        <v>18076.71</v>
      </c>
      <c r="J7" s="85">
        <v>18935.61</v>
      </c>
      <c r="K7" s="85">
        <v>22631.27</v>
      </c>
      <c r="L7" s="85">
        <v>29709.13</v>
      </c>
      <c r="M7" s="446">
        <f t="shared" ref="M7:Q40" si="0">C7/H7*100</f>
        <v>9.8711054471374418</v>
      </c>
      <c r="N7" s="446">
        <f t="shared" si="0"/>
        <v>8.7961802783803034</v>
      </c>
      <c r="O7" s="446">
        <f t="shared" si="0"/>
        <v>9.6779559781807922</v>
      </c>
      <c r="P7" s="446">
        <f t="shared" si="0"/>
        <v>8.449017664496953</v>
      </c>
      <c r="Q7" s="446">
        <f t="shared" si="0"/>
        <v>7.463766189046936</v>
      </c>
    </row>
    <row r="8" spans="1:17" ht="20.25" customHeight="1">
      <c r="A8" s="37">
        <v>3</v>
      </c>
      <c r="B8" s="34" t="s">
        <v>16</v>
      </c>
      <c r="C8" s="18">
        <v>1702.72</v>
      </c>
      <c r="D8" s="18">
        <v>1893.57</v>
      </c>
      <c r="E8" s="18">
        <v>1955.85</v>
      </c>
      <c r="F8" s="18">
        <v>1950.43</v>
      </c>
      <c r="G8" s="18">
        <v>2150.58</v>
      </c>
      <c r="H8" s="85">
        <v>9141.5300000000007</v>
      </c>
      <c r="I8" s="85">
        <v>9307.99</v>
      </c>
      <c r="J8" s="85">
        <v>10346.36</v>
      </c>
      <c r="K8" s="85">
        <v>12710.61</v>
      </c>
      <c r="L8" s="85">
        <v>14093.51</v>
      </c>
      <c r="M8" s="446">
        <f t="shared" si="0"/>
        <v>18.626203709882262</v>
      </c>
      <c r="N8" s="446">
        <f t="shared" si="0"/>
        <v>20.343489840448907</v>
      </c>
      <c r="O8" s="446">
        <f t="shared" si="0"/>
        <v>18.903749724540802</v>
      </c>
      <c r="P8" s="446">
        <f t="shared" si="0"/>
        <v>15.344896901092866</v>
      </c>
      <c r="Q8" s="446">
        <f t="shared" si="0"/>
        <v>15.259364061897992</v>
      </c>
    </row>
    <row r="9" spans="1:17" ht="20.25" customHeight="1">
      <c r="A9" s="37">
        <v>4</v>
      </c>
      <c r="B9" s="34" t="s">
        <v>60</v>
      </c>
      <c r="C9" s="85">
        <v>2435.09</v>
      </c>
      <c r="D9" s="85">
        <v>1577.23</v>
      </c>
      <c r="E9" s="18">
        <v>2139</v>
      </c>
      <c r="F9" s="18">
        <v>2283</v>
      </c>
      <c r="G9" s="18">
        <v>2360.5500000000002</v>
      </c>
      <c r="H9" s="85">
        <v>13637.03</v>
      </c>
      <c r="I9" s="85">
        <v>14302.52</v>
      </c>
      <c r="J9" s="85">
        <v>17588</v>
      </c>
      <c r="K9" s="85">
        <v>22233.65</v>
      </c>
      <c r="L9" s="85">
        <v>26699.84</v>
      </c>
      <c r="M9" s="446">
        <f t="shared" si="0"/>
        <v>17.856454081277228</v>
      </c>
      <c r="N9" s="446">
        <f t="shared" si="0"/>
        <v>11.027637087729994</v>
      </c>
      <c r="O9" s="446">
        <f t="shared" si="0"/>
        <v>12.161701159881739</v>
      </c>
      <c r="P9" s="446">
        <f t="shared" si="0"/>
        <v>10.26821956808711</v>
      </c>
      <c r="Q9" s="446">
        <f t="shared" si="0"/>
        <v>8.8410642161151536</v>
      </c>
    </row>
    <row r="10" spans="1:17" ht="20.25" customHeight="1">
      <c r="A10" s="37">
        <v>5</v>
      </c>
      <c r="B10" s="34" t="s">
        <v>18</v>
      </c>
      <c r="C10" s="18">
        <v>298.5</v>
      </c>
      <c r="D10" s="18">
        <v>313.83</v>
      </c>
      <c r="E10" s="18">
        <v>322.57</v>
      </c>
      <c r="F10" s="18">
        <v>364.78</v>
      </c>
      <c r="G10" s="18">
        <v>392.4</v>
      </c>
      <c r="H10" s="85">
        <v>3508.27</v>
      </c>
      <c r="I10" s="85">
        <v>3872.62</v>
      </c>
      <c r="J10" s="85">
        <v>3873.24</v>
      </c>
      <c r="K10" s="85">
        <v>5429.94</v>
      </c>
      <c r="L10" s="85">
        <v>5882.32</v>
      </c>
      <c r="M10" s="446">
        <f t="shared" si="0"/>
        <v>8.5084671362238371</v>
      </c>
      <c r="N10" s="446">
        <f t="shared" si="0"/>
        <v>8.1038160211949517</v>
      </c>
      <c r="O10" s="446">
        <f t="shared" si="0"/>
        <v>8.3281696977207726</v>
      </c>
      <c r="P10" s="446">
        <f t="shared" si="0"/>
        <v>6.7179379514322441</v>
      </c>
      <c r="Q10" s="446">
        <f t="shared" si="0"/>
        <v>6.6708373566891979</v>
      </c>
    </row>
    <row r="11" spans="1:17" ht="20.25" customHeight="1">
      <c r="A11" s="37">
        <v>6</v>
      </c>
      <c r="B11" s="34" t="s">
        <v>19</v>
      </c>
      <c r="C11" s="18">
        <v>188.99</v>
      </c>
      <c r="D11" s="18">
        <v>212.03</v>
      </c>
      <c r="E11" s="18">
        <v>233.96</v>
      </c>
      <c r="F11" s="18">
        <v>272.55</v>
      </c>
      <c r="G11" s="18">
        <v>304.94</v>
      </c>
      <c r="H11" s="85">
        <v>2441.38</v>
      </c>
      <c r="I11" s="85">
        <v>2810.64</v>
      </c>
      <c r="J11" s="85">
        <v>3447.34</v>
      </c>
      <c r="K11" s="85">
        <v>4260.4799999999996</v>
      </c>
      <c r="L11" s="85">
        <v>5602.16</v>
      </c>
      <c r="M11" s="446">
        <f t="shared" si="0"/>
        <v>7.7411136324537759</v>
      </c>
      <c r="N11" s="446">
        <f t="shared" si="0"/>
        <v>7.5438334329547718</v>
      </c>
      <c r="O11" s="446">
        <f t="shared" si="0"/>
        <v>6.7866819054691438</v>
      </c>
      <c r="P11" s="446">
        <f t="shared" si="0"/>
        <v>6.397166516448852</v>
      </c>
      <c r="Q11" s="446">
        <f t="shared" si="0"/>
        <v>5.4432576006397531</v>
      </c>
    </row>
    <row r="12" spans="1:17" s="41" customFormat="1" ht="20.25" customHeight="1">
      <c r="A12" s="39">
        <v>7</v>
      </c>
      <c r="B12" s="40" t="s">
        <v>20</v>
      </c>
      <c r="C12" s="18">
        <v>208.01</v>
      </c>
      <c r="D12" s="18">
        <v>225.61</v>
      </c>
      <c r="E12" s="18">
        <v>270.85000000000002</v>
      </c>
      <c r="F12" s="18">
        <v>105.46</v>
      </c>
      <c r="G12" s="18">
        <v>270.92</v>
      </c>
      <c r="H12" s="85">
        <v>2039.75</v>
      </c>
      <c r="I12" s="85">
        <v>2653.12</v>
      </c>
      <c r="J12" s="85">
        <v>2963.51</v>
      </c>
      <c r="K12" s="85">
        <v>2872.37</v>
      </c>
      <c r="L12" s="85">
        <v>3425</v>
      </c>
      <c r="M12" s="446">
        <f t="shared" si="0"/>
        <v>10.197818360093148</v>
      </c>
      <c r="N12" s="446">
        <f t="shared" si="0"/>
        <v>8.5035731516101798</v>
      </c>
      <c r="O12" s="446">
        <f t="shared" si="0"/>
        <v>9.1395001197903838</v>
      </c>
      <c r="P12" s="446">
        <f t="shared" si="0"/>
        <v>3.6715325671831973</v>
      </c>
      <c r="Q12" s="446">
        <f t="shared" si="0"/>
        <v>7.9100729927007301</v>
      </c>
    </row>
    <row r="13" spans="1:17" s="41" customFormat="1" ht="20.25" customHeight="1">
      <c r="A13" s="39">
        <v>8</v>
      </c>
      <c r="B13" s="40" t="s">
        <v>21</v>
      </c>
      <c r="C13" s="18">
        <v>270.45999999999998</v>
      </c>
      <c r="D13" s="18">
        <v>313.99</v>
      </c>
      <c r="E13" s="18">
        <v>362.51</v>
      </c>
      <c r="F13" s="18">
        <v>404.86</v>
      </c>
      <c r="G13" s="18">
        <v>439.66</v>
      </c>
      <c r="H13" s="85">
        <v>2996.01</v>
      </c>
      <c r="I13" s="85">
        <v>3378.67</v>
      </c>
      <c r="J13" s="85">
        <v>3748.63</v>
      </c>
      <c r="K13" s="85">
        <v>4740.92</v>
      </c>
      <c r="L13" s="85">
        <v>5611.61</v>
      </c>
      <c r="M13" s="446">
        <f t="shared" si="0"/>
        <v>9.0273396951278517</v>
      </c>
      <c r="N13" s="446">
        <f t="shared" si="0"/>
        <v>9.2933018021884344</v>
      </c>
      <c r="O13" s="446">
        <f t="shared" si="0"/>
        <v>9.6704662770132011</v>
      </c>
      <c r="P13" s="446">
        <f t="shared" si="0"/>
        <v>8.5396927178691051</v>
      </c>
      <c r="Q13" s="446">
        <f t="shared" si="0"/>
        <v>7.834828150922819</v>
      </c>
    </row>
    <row r="14" spans="1:17" ht="20.25" customHeight="1">
      <c r="A14" s="37">
        <v>9</v>
      </c>
      <c r="B14" s="34" t="s">
        <v>22</v>
      </c>
      <c r="C14" s="18">
        <v>117.74</v>
      </c>
      <c r="D14" s="18">
        <v>142.63999999999999</v>
      </c>
      <c r="E14" s="18">
        <v>154.43</v>
      </c>
      <c r="F14" s="18">
        <v>186.77</v>
      </c>
      <c r="G14" s="18">
        <v>192.15</v>
      </c>
      <c r="H14" s="85">
        <v>1497.72</v>
      </c>
      <c r="I14" s="85">
        <v>1758.19</v>
      </c>
      <c r="J14" s="85">
        <v>2345.37</v>
      </c>
      <c r="K14" s="85">
        <v>2151.69</v>
      </c>
      <c r="L14" s="85">
        <v>3245.22</v>
      </c>
      <c r="M14" s="446">
        <f t="shared" si="0"/>
        <v>7.8612824827070478</v>
      </c>
      <c r="N14" s="446">
        <f t="shared" si="0"/>
        <v>8.1128888231647309</v>
      </c>
      <c r="O14" s="446">
        <f t="shared" si="0"/>
        <v>6.5844621530931162</v>
      </c>
      <c r="P14" s="446">
        <f t="shared" si="0"/>
        <v>8.6801537396186266</v>
      </c>
      <c r="Q14" s="446">
        <f t="shared" si="0"/>
        <v>5.9210161406622674</v>
      </c>
    </row>
    <row r="15" spans="1:17" ht="20.25" customHeight="1">
      <c r="A15" s="37">
        <v>10</v>
      </c>
      <c r="B15" s="34" t="s">
        <v>23</v>
      </c>
      <c r="C15" s="18">
        <v>395.76</v>
      </c>
      <c r="D15" s="18">
        <v>394.29</v>
      </c>
      <c r="E15" s="18">
        <v>408.51</v>
      </c>
      <c r="F15" s="18">
        <v>447.32</v>
      </c>
      <c r="G15" s="18">
        <v>581.64</v>
      </c>
      <c r="H15" s="85">
        <v>3698.47</v>
      </c>
      <c r="I15" s="85">
        <v>4076.77</v>
      </c>
      <c r="J15" s="85">
        <v>4401.3500000000004</v>
      </c>
      <c r="K15" s="85">
        <v>5168.6000000000004</v>
      </c>
      <c r="L15" s="85">
        <v>5989.35</v>
      </c>
      <c r="M15" s="446">
        <f t="shared" si="0"/>
        <v>10.700641075904361</v>
      </c>
      <c r="N15" s="446">
        <f t="shared" si="0"/>
        <v>9.6716272931757263</v>
      </c>
      <c r="O15" s="446">
        <f t="shared" si="0"/>
        <v>9.2814704579276803</v>
      </c>
      <c r="P15" s="446">
        <f t="shared" si="0"/>
        <v>8.6545679681151562</v>
      </c>
      <c r="Q15" s="446">
        <f t="shared" si="0"/>
        <v>9.7112374464674787</v>
      </c>
    </row>
    <row r="16" spans="1:17" ht="20.25" customHeight="1">
      <c r="A16" s="37">
        <v>11</v>
      </c>
      <c r="B16" s="34" t="s">
        <v>24</v>
      </c>
      <c r="C16" s="18">
        <v>1095.93</v>
      </c>
      <c r="D16" s="18">
        <v>1187.5</v>
      </c>
      <c r="E16" s="18">
        <v>1337.97</v>
      </c>
      <c r="F16" s="18">
        <v>1479.58</v>
      </c>
      <c r="G16" s="18">
        <v>1812.03</v>
      </c>
      <c r="H16" s="85">
        <v>7891.09</v>
      </c>
      <c r="I16" s="85">
        <v>8634.89</v>
      </c>
      <c r="J16" s="85">
        <v>9486.1299999999992</v>
      </c>
      <c r="K16" s="85">
        <v>12292.67</v>
      </c>
      <c r="L16" s="85">
        <v>14634.99</v>
      </c>
      <c r="M16" s="446">
        <f t="shared" si="0"/>
        <v>13.888195420404534</v>
      </c>
      <c r="N16" s="446">
        <f t="shared" si="0"/>
        <v>13.752346584611965</v>
      </c>
      <c r="O16" s="446">
        <f t="shared" si="0"/>
        <v>14.104487288283</v>
      </c>
      <c r="P16" s="446">
        <f t="shared" si="0"/>
        <v>12.036278530213533</v>
      </c>
      <c r="Q16" s="446">
        <f t="shared" si="0"/>
        <v>12.381491207031916</v>
      </c>
    </row>
    <row r="17" spans="1:17" s="44" customFormat="1" ht="20.25" customHeight="1">
      <c r="A17" s="35"/>
      <c r="B17" s="35" t="s">
        <v>25</v>
      </c>
      <c r="C17" s="78">
        <f t="shared" ref="C17:I17" si="1">SUM(C6:C16)</f>
        <v>8393.2800000000007</v>
      </c>
      <c r="D17" s="78">
        <f t="shared" si="1"/>
        <v>8080.75</v>
      </c>
      <c r="E17" s="78">
        <f>SUM(E6:E16)</f>
        <v>9245.2100000000009</v>
      </c>
      <c r="F17" s="78">
        <f>SUM(F6:F16)</f>
        <v>9636.7799999999988</v>
      </c>
      <c r="G17" s="78">
        <f>SUM(G6:G16)</f>
        <v>10990.599999999999</v>
      </c>
      <c r="H17" s="86">
        <f t="shared" si="1"/>
        <v>65179.16</v>
      </c>
      <c r="I17" s="86">
        <f t="shared" si="1"/>
        <v>72705.429999999993</v>
      </c>
      <c r="J17" s="78">
        <f>SUM(J6:J16)</f>
        <v>81430.37000000001</v>
      </c>
      <c r="K17" s="78">
        <f>SUM(K6:K16)</f>
        <v>99851.12999999999</v>
      </c>
      <c r="L17" s="78">
        <f>SUM(L6:L16)</f>
        <v>121018.98000000001</v>
      </c>
      <c r="M17" s="447">
        <f t="shared" si="0"/>
        <v>12.877244812605749</v>
      </c>
      <c r="N17" s="447">
        <f t="shared" si="0"/>
        <v>11.114369311893212</v>
      </c>
      <c r="O17" s="447">
        <f t="shared" si="0"/>
        <v>11.353515893394565</v>
      </c>
      <c r="P17" s="447">
        <f t="shared" si="0"/>
        <v>9.6511476635266913</v>
      </c>
      <c r="Q17" s="447">
        <f t="shared" si="0"/>
        <v>9.0817159424083709</v>
      </c>
    </row>
    <row r="18" spans="1:17" s="44" customFormat="1" ht="20.25" customHeight="1">
      <c r="A18" s="35"/>
      <c r="B18" s="35" t="s">
        <v>26</v>
      </c>
      <c r="C18" s="78"/>
      <c r="D18" s="78"/>
      <c r="E18" s="78"/>
      <c r="F18" s="78"/>
      <c r="G18" s="78"/>
      <c r="H18" s="86"/>
      <c r="I18" s="86"/>
      <c r="J18" s="78"/>
      <c r="K18" s="78"/>
      <c r="L18" s="78"/>
      <c r="M18" s="446"/>
      <c r="N18" s="446"/>
      <c r="O18" s="446"/>
      <c r="P18" s="446"/>
      <c r="Q18" s="446"/>
    </row>
    <row r="19" spans="1:17" ht="20.25" customHeight="1">
      <c r="A19" s="37">
        <v>12</v>
      </c>
      <c r="B19" s="34" t="s">
        <v>27</v>
      </c>
      <c r="C19" s="18">
        <v>7288.72</v>
      </c>
      <c r="D19" s="18">
        <v>8057.12</v>
      </c>
      <c r="E19" s="18">
        <v>8913.59</v>
      </c>
      <c r="F19" s="18">
        <v>9674.94</v>
      </c>
      <c r="G19" s="18">
        <v>11437.28</v>
      </c>
      <c r="H19" s="85">
        <v>54142.55</v>
      </c>
      <c r="I19" s="85">
        <v>62858.45</v>
      </c>
      <c r="J19" s="85">
        <v>64678.35</v>
      </c>
      <c r="K19" s="85">
        <v>80996.3</v>
      </c>
      <c r="L19" s="85">
        <v>100995.27</v>
      </c>
      <c r="M19" s="446">
        <f t="shared" si="0"/>
        <v>13.462092199203768</v>
      </c>
      <c r="N19" s="446">
        <f t="shared" si="0"/>
        <v>12.817878900927401</v>
      </c>
      <c r="O19" s="446">
        <f t="shared" si="0"/>
        <v>13.781412172697665</v>
      </c>
      <c r="P19" s="446">
        <f t="shared" si="0"/>
        <v>11.944916002335908</v>
      </c>
      <c r="Q19" s="446">
        <f t="shared" si="0"/>
        <v>11.324569952632435</v>
      </c>
    </row>
    <row r="20" spans="1:17" ht="20.25" customHeight="1">
      <c r="A20" s="37">
        <v>13</v>
      </c>
      <c r="B20" s="34" t="s">
        <v>28</v>
      </c>
      <c r="C20" s="18">
        <v>3706.99</v>
      </c>
      <c r="D20" s="18">
        <v>3752.94</v>
      </c>
      <c r="E20" s="18">
        <v>3685.48</v>
      </c>
      <c r="F20" s="18">
        <v>4319.16</v>
      </c>
      <c r="G20" s="18">
        <v>4738.51</v>
      </c>
      <c r="H20" s="85">
        <v>28209.72</v>
      </c>
      <c r="I20" s="85">
        <v>32980.69</v>
      </c>
      <c r="J20" s="85">
        <v>35526.83</v>
      </c>
      <c r="K20" s="85">
        <v>44532.32</v>
      </c>
      <c r="L20" s="85">
        <v>58044.97</v>
      </c>
      <c r="M20" s="446">
        <f t="shared" si="0"/>
        <v>13.140825219108873</v>
      </c>
      <c r="N20" s="446">
        <f t="shared" si="0"/>
        <v>11.379204013014888</v>
      </c>
      <c r="O20" s="446">
        <f t="shared" si="0"/>
        <v>10.373793552647394</v>
      </c>
      <c r="P20" s="446">
        <f t="shared" si="0"/>
        <v>9.6989332691402552</v>
      </c>
      <c r="Q20" s="446">
        <f t="shared" si="0"/>
        <v>8.1635152882325546</v>
      </c>
    </row>
    <row r="21" spans="1:17" ht="20.25" customHeight="1">
      <c r="A21" s="37">
        <v>14</v>
      </c>
      <c r="B21" s="34" t="s">
        <v>29</v>
      </c>
      <c r="C21" s="18">
        <v>1140.17</v>
      </c>
      <c r="D21" s="18">
        <v>1077.52</v>
      </c>
      <c r="E21" s="18">
        <v>1094.8599999999999</v>
      </c>
      <c r="F21" s="18">
        <v>1198.3699999999999</v>
      </c>
      <c r="G21" s="18">
        <v>1303.3399999999999</v>
      </c>
      <c r="H21" s="85">
        <v>13878.66</v>
      </c>
      <c r="I21" s="85">
        <v>15662.76</v>
      </c>
      <c r="J21" s="85">
        <v>18153.64</v>
      </c>
      <c r="K21" s="85">
        <v>22719.54</v>
      </c>
      <c r="L21" s="85">
        <v>25809.9</v>
      </c>
      <c r="M21" s="446">
        <f t="shared" si="0"/>
        <v>8.2152743852792707</v>
      </c>
      <c r="N21" s="446">
        <f t="shared" si="0"/>
        <v>6.8795027185502429</v>
      </c>
      <c r="O21" s="446">
        <f t="shared" si="0"/>
        <v>6.0310769630773766</v>
      </c>
      <c r="P21" s="446">
        <f t="shared" si="0"/>
        <v>5.2746226376062184</v>
      </c>
      <c r="Q21" s="446">
        <f t="shared" si="0"/>
        <v>5.0497677247877748</v>
      </c>
    </row>
    <row r="22" spans="1:17" ht="20.25" customHeight="1">
      <c r="A22" s="37">
        <v>15</v>
      </c>
      <c r="B22" s="34" t="s">
        <v>30</v>
      </c>
      <c r="C22" s="18">
        <v>447</v>
      </c>
      <c r="D22" s="18">
        <v>424</v>
      </c>
      <c r="E22" s="18">
        <v>582.62</v>
      </c>
      <c r="F22" s="18">
        <v>654.09</v>
      </c>
      <c r="G22" s="18">
        <v>663.52</v>
      </c>
      <c r="H22" s="85">
        <v>2313.85</v>
      </c>
      <c r="I22" s="85">
        <v>2721.99</v>
      </c>
      <c r="J22" s="85">
        <v>3301.3</v>
      </c>
      <c r="K22" s="85">
        <v>4518.2299999999996</v>
      </c>
      <c r="L22" s="85">
        <v>5370.65</v>
      </c>
      <c r="M22" s="446">
        <f t="shared" si="0"/>
        <v>19.318451930764745</v>
      </c>
      <c r="N22" s="446">
        <f t="shared" si="0"/>
        <v>15.576839003817062</v>
      </c>
      <c r="O22" s="446">
        <f t="shared" si="0"/>
        <v>17.648199194256808</v>
      </c>
      <c r="P22" s="446">
        <f t="shared" si="0"/>
        <v>14.476686667124076</v>
      </c>
      <c r="Q22" s="446">
        <f t="shared" si="0"/>
        <v>12.354556711012634</v>
      </c>
    </row>
    <row r="23" spans="1:17" ht="20.25" customHeight="1">
      <c r="A23" s="37">
        <v>16</v>
      </c>
      <c r="B23" s="34" t="s">
        <v>31</v>
      </c>
      <c r="C23" s="18">
        <v>7484.45</v>
      </c>
      <c r="D23" s="18">
        <v>7884.05</v>
      </c>
      <c r="E23" s="18">
        <v>8590.09</v>
      </c>
      <c r="F23" s="18">
        <v>9627.32</v>
      </c>
      <c r="G23" s="18">
        <v>10760.61</v>
      </c>
      <c r="H23" s="85">
        <v>35330.870000000003</v>
      </c>
      <c r="I23" s="85">
        <v>38276.519999999997</v>
      </c>
      <c r="J23" s="85">
        <v>40171.68</v>
      </c>
      <c r="K23" s="85">
        <v>51838.27</v>
      </c>
      <c r="L23" s="85">
        <v>59308.93</v>
      </c>
      <c r="M23" s="446">
        <f t="shared" si="0"/>
        <v>21.183882536716471</v>
      </c>
      <c r="N23" s="446">
        <f t="shared" si="0"/>
        <v>20.597614412177496</v>
      </c>
      <c r="O23" s="446">
        <f t="shared" si="0"/>
        <v>21.383447244426922</v>
      </c>
      <c r="P23" s="446">
        <f t="shared" si="0"/>
        <v>18.57183891360572</v>
      </c>
      <c r="Q23" s="446">
        <f t="shared" si="0"/>
        <v>18.143321756099798</v>
      </c>
    </row>
    <row r="24" spans="1:17" ht="20.25" customHeight="1">
      <c r="A24" s="37">
        <v>17</v>
      </c>
      <c r="B24" s="34" t="s">
        <v>32</v>
      </c>
      <c r="C24" s="18">
        <v>2346</v>
      </c>
      <c r="D24" s="18">
        <v>2339</v>
      </c>
      <c r="E24" s="18">
        <v>2736</v>
      </c>
      <c r="F24" s="18">
        <v>3319</v>
      </c>
      <c r="G24" s="18">
        <v>4380</v>
      </c>
      <c r="H24" s="85">
        <v>19751</v>
      </c>
      <c r="I24" s="85">
        <v>18452</v>
      </c>
      <c r="J24" s="85">
        <v>20993</v>
      </c>
      <c r="K24" s="85">
        <v>25564</v>
      </c>
      <c r="L24" s="85">
        <v>32018</v>
      </c>
      <c r="M24" s="446">
        <f t="shared" si="0"/>
        <v>11.877879601032859</v>
      </c>
      <c r="N24" s="446">
        <f t="shared" si="0"/>
        <v>12.676132668545414</v>
      </c>
      <c r="O24" s="446">
        <f t="shared" si="0"/>
        <v>13.032915733816033</v>
      </c>
      <c r="P24" s="446">
        <f t="shared" si="0"/>
        <v>12.983101236113285</v>
      </c>
      <c r="Q24" s="446">
        <f t="shared" si="0"/>
        <v>13.679805109625837</v>
      </c>
    </row>
    <row r="25" spans="1:17" ht="20.25" customHeight="1">
      <c r="A25" s="37">
        <v>18</v>
      </c>
      <c r="B25" s="34" t="s">
        <v>33</v>
      </c>
      <c r="C25" s="18">
        <v>1758.03</v>
      </c>
      <c r="D25" s="18">
        <v>1886.88</v>
      </c>
      <c r="E25" s="18">
        <v>2307.4499999999998</v>
      </c>
      <c r="F25" s="18">
        <v>2227.54</v>
      </c>
      <c r="G25" s="18">
        <v>2455.3000000000002</v>
      </c>
      <c r="H25" s="85">
        <v>12026.55</v>
      </c>
      <c r="I25" s="85">
        <v>13212.84</v>
      </c>
      <c r="J25" s="85">
        <v>15118.46</v>
      </c>
      <c r="K25" s="85">
        <v>18781.12</v>
      </c>
      <c r="L25" s="85">
        <v>17786.11</v>
      </c>
      <c r="M25" s="446">
        <f t="shared" si="0"/>
        <v>14.617907878818116</v>
      </c>
      <c r="N25" s="446">
        <f t="shared" si="0"/>
        <v>14.280654272662046</v>
      </c>
      <c r="O25" s="446">
        <f t="shared" si="0"/>
        <v>15.262467208961757</v>
      </c>
      <c r="P25" s="446">
        <f t="shared" si="0"/>
        <v>11.860528019628223</v>
      </c>
      <c r="Q25" s="446">
        <f t="shared" si="0"/>
        <v>13.804592460071371</v>
      </c>
    </row>
    <row r="26" spans="1:17" ht="20.25" customHeight="1">
      <c r="A26" s="37">
        <v>19</v>
      </c>
      <c r="B26" s="34" t="s">
        <v>34</v>
      </c>
      <c r="C26" s="18">
        <v>4506</v>
      </c>
      <c r="D26" s="18">
        <v>4532.03</v>
      </c>
      <c r="E26" s="18">
        <v>5212.91</v>
      </c>
      <c r="F26" s="18">
        <v>5641</v>
      </c>
      <c r="G26" s="18">
        <v>6950</v>
      </c>
      <c r="H26" s="85">
        <v>41151</v>
      </c>
      <c r="I26" s="85">
        <v>43291</v>
      </c>
      <c r="J26" s="85">
        <v>49156</v>
      </c>
      <c r="K26" s="85">
        <v>58206</v>
      </c>
      <c r="L26" s="85">
        <v>66313</v>
      </c>
      <c r="M26" s="446">
        <f t="shared" si="0"/>
        <v>10.949916162426186</v>
      </c>
      <c r="N26" s="446">
        <f t="shared" si="0"/>
        <v>10.468757940449516</v>
      </c>
      <c r="O26" s="446">
        <f t="shared" si="0"/>
        <v>10.604829522337049</v>
      </c>
      <c r="P26" s="446">
        <f t="shared" si="0"/>
        <v>9.691440744940385</v>
      </c>
      <c r="Q26" s="446">
        <f t="shared" si="0"/>
        <v>10.480599580776016</v>
      </c>
    </row>
    <row r="27" spans="1:17" ht="20.25" customHeight="1">
      <c r="A27" s="37">
        <v>20</v>
      </c>
      <c r="B27" s="34" t="s">
        <v>35</v>
      </c>
      <c r="C27" s="18">
        <v>4329.6499999999996</v>
      </c>
      <c r="D27" s="18">
        <v>4659.6899999999996</v>
      </c>
      <c r="E27" s="18">
        <v>5292.48</v>
      </c>
      <c r="F27" s="18">
        <v>5689.66</v>
      </c>
      <c r="G27" s="18">
        <v>6254.56</v>
      </c>
      <c r="H27" s="85">
        <v>21106.79</v>
      </c>
      <c r="I27" s="85">
        <v>24512.18</v>
      </c>
      <c r="J27" s="85">
        <v>26109.4</v>
      </c>
      <c r="K27" s="85">
        <v>30990.44</v>
      </c>
      <c r="L27" s="85">
        <v>38174.019999999997</v>
      </c>
      <c r="M27" s="446">
        <f t="shared" si="0"/>
        <v>20.513067122001967</v>
      </c>
      <c r="N27" s="446">
        <f t="shared" si="0"/>
        <v>19.009692324387302</v>
      </c>
      <c r="O27" s="446">
        <f t="shared" si="0"/>
        <v>20.270400698598969</v>
      </c>
      <c r="P27" s="446">
        <f t="shared" si="0"/>
        <v>18.359403738701356</v>
      </c>
      <c r="Q27" s="446">
        <f t="shared" si="0"/>
        <v>16.38433678192656</v>
      </c>
    </row>
    <row r="28" spans="1:17" ht="20.25" customHeight="1">
      <c r="A28" s="37">
        <v>21</v>
      </c>
      <c r="B28" s="34" t="s">
        <v>36</v>
      </c>
      <c r="C28" s="18">
        <v>4190.7700000000004</v>
      </c>
      <c r="D28" s="18">
        <v>4191.99</v>
      </c>
      <c r="E28" s="18">
        <v>4454.3</v>
      </c>
      <c r="F28" s="18">
        <v>5048.95</v>
      </c>
      <c r="G28" s="18">
        <v>5342.18</v>
      </c>
      <c r="H28" s="85">
        <v>30688.73</v>
      </c>
      <c r="I28" s="85">
        <v>33577.21</v>
      </c>
      <c r="J28" s="85">
        <v>41394.699999999997</v>
      </c>
      <c r="K28" s="85">
        <v>51854.18</v>
      </c>
      <c r="L28" s="85">
        <v>57789.99</v>
      </c>
      <c r="M28" s="446">
        <f t="shared" si="0"/>
        <v>13.655729644074551</v>
      </c>
      <c r="N28" s="446">
        <f t="shared" si="0"/>
        <v>12.484628710961989</v>
      </c>
      <c r="O28" s="446">
        <f t="shared" si="0"/>
        <v>10.760556303101607</v>
      </c>
      <c r="P28" s="446">
        <f t="shared" si="0"/>
        <v>9.7368235309091755</v>
      </c>
      <c r="Q28" s="446">
        <f t="shared" si="0"/>
        <v>9.244126880797177</v>
      </c>
    </row>
    <row r="29" spans="1:17" ht="20.25" customHeight="1">
      <c r="A29" s="37">
        <v>22</v>
      </c>
      <c r="B29" s="34" t="s">
        <v>37</v>
      </c>
      <c r="C29" s="18">
        <v>12204.01</v>
      </c>
      <c r="D29" s="18">
        <v>12299.31</v>
      </c>
      <c r="E29" s="18">
        <v>14110.5</v>
      </c>
      <c r="F29" s="18">
        <v>15647.97</v>
      </c>
      <c r="G29" s="18">
        <v>17540.13</v>
      </c>
      <c r="H29" s="85">
        <v>79583.16</v>
      </c>
      <c r="I29" s="85">
        <v>81270.7</v>
      </c>
      <c r="J29" s="85">
        <v>86910.29</v>
      </c>
      <c r="K29" s="85">
        <v>105867.81</v>
      </c>
      <c r="L29" s="85">
        <v>121503.92</v>
      </c>
      <c r="M29" s="446">
        <f t="shared" si="0"/>
        <v>15.334915074998278</v>
      </c>
      <c r="N29" s="446">
        <f t="shared" si="0"/>
        <v>15.133756692141201</v>
      </c>
      <c r="O29" s="446">
        <f t="shared" si="0"/>
        <v>16.235706957139367</v>
      </c>
      <c r="P29" s="446">
        <f t="shared" si="0"/>
        <v>14.78066845814606</v>
      </c>
      <c r="Q29" s="446">
        <f t="shared" si="0"/>
        <v>14.435855238250749</v>
      </c>
    </row>
    <row r="30" spans="1:17" ht="20.25" customHeight="1">
      <c r="A30" s="37">
        <v>23</v>
      </c>
      <c r="B30" s="34" t="s">
        <v>104</v>
      </c>
      <c r="C30" s="18">
        <v>3169.48</v>
      </c>
      <c r="D30" s="18">
        <v>2889.81</v>
      </c>
      <c r="E30" s="18">
        <v>3044.17</v>
      </c>
      <c r="F30" s="18">
        <v>3161.53</v>
      </c>
      <c r="G30" s="18">
        <v>4047.33</v>
      </c>
      <c r="H30" s="85">
        <v>21967.19</v>
      </c>
      <c r="I30" s="85">
        <v>24610.01</v>
      </c>
      <c r="J30" s="85">
        <v>26430.21</v>
      </c>
      <c r="K30" s="85">
        <v>33276.15</v>
      </c>
      <c r="L30" s="85">
        <v>36383.360000000001</v>
      </c>
      <c r="M30" s="446">
        <f t="shared" si="0"/>
        <v>14.428245032705595</v>
      </c>
      <c r="N30" s="446">
        <f t="shared" si="0"/>
        <v>11.74241700836367</v>
      </c>
      <c r="O30" s="446">
        <f t="shared" si="0"/>
        <v>11.517766979528352</v>
      </c>
      <c r="P30" s="446">
        <f t="shared" si="0"/>
        <v>9.5008887746929869</v>
      </c>
      <c r="Q30" s="446">
        <f t="shared" si="0"/>
        <v>11.124123775264296</v>
      </c>
    </row>
    <row r="31" spans="1:17" ht="20.25" customHeight="1">
      <c r="A31" s="37">
        <v>24</v>
      </c>
      <c r="B31" s="34" t="s">
        <v>39</v>
      </c>
      <c r="C31" s="18">
        <v>4526.92</v>
      </c>
      <c r="D31" s="18">
        <v>4901.68</v>
      </c>
      <c r="E31" s="18">
        <v>5010.99</v>
      </c>
      <c r="F31" s="18">
        <v>5515.11</v>
      </c>
      <c r="G31" s="18">
        <v>6530.01</v>
      </c>
      <c r="H31" s="85">
        <v>19237.62</v>
      </c>
      <c r="I31" s="85">
        <v>20712.79</v>
      </c>
      <c r="J31" s="85">
        <v>22156.58</v>
      </c>
      <c r="K31" s="85">
        <v>27608.47</v>
      </c>
      <c r="L31" s="85">
        <v>32026.76</v>
      </c>
      <c r="M31" s="446">
        <f t="shared" si="0"/>
        <v>23.531601102423274</v>
      </c>
      <c r="N31" s="446">
        <f t="shared" si="0"/>
        <v>23.664991534216298</v>
      </c>
      <c r="O31" s="446">
        <f t="shared" si="0"/>
        <v>22.616261173881526</v>
      </c>
      <c r="P31" s="446">
        <f t="shared" si="0"/>
        <v>19.976152246031742</v>
      </c>
      <c r="Q31" s="446">
        <f t="shared" si="0"/>
        <v>20.389230755780481</v>
      </c>
    </row>
    <row r="32" spans="1:17" ht="20.25" customHeight="1">
      <c r="A32" s="37">
        <v>25</v>
      </c>
      <c r="B32" s="34" t="s">
        <v>40</v>
      </c>
      <c r="C32" s="18">
        <v>5942.99</v>
      </c>
      <c r="D32" s="18">
        <v>6224.25</v>
      </c>
      <c r="E32" s="18">
        <v>6769.13</v>
      </c>
      <c r="F32" s="18">
        <v>7369</v>
      </c>
      <c r="G32" s="18">
        <v>8012.48</v>
      </c>
      <c r="H32" s="85">
        <v>30780.62</v>
      </c>
      <c r="I32" s="85">
        <v>33468.85</v>
      </c>
      <c r="J32" s="85">
        <v>35385.01</v>
      </c>
      <c r="K32" s="85">
        <v>45928.2</v>
      </c>
      <c r="L32" s="85">
        <v>52287.360000000001</v>
      </c>
      <c r="M32" s="446">
        <f t="shared" si="0"/>
        <v>19.307570802667392</v>
      </c>
      <c r="N32" s="446">
        <f t="shared" si="0"/>
        <v>18.597143313857515</v>
      </c>
      <c r="O32" s="446">
        <f t="shared" si="0"/>
        <v>19.129936659619425</v>
      </c>
      <c r="P32" s="446">
        <f t="shared" si="0"/>
        <v>16.044608758888877</v>
      </c>
      <c r="Q32" s="446">
        <f t="shared" si="0"/>
        <v>15.323932973475806</v>
      </c>
    </row>
    <row r="33" spans="1:17" ht="20.25" customHeight="1">
      <c r="A33" s="37">
        <v>26</v>
      </c>
      <c r="B33" s="34" t="s">
        <v>41</v>
      </c>
      <c r="C33" s="18">
        <v>6085.85</v>
      </c>
      <c r="D33" s="18">
        <v>5962.81</v>
      </c>
      <c r="E33" s="18">
        <v>6667.35</v>
      </c>
      <c r="F33" s="18">
        <v>7939.89</v>
      </c>
      <c r="G33" s="18">
        <v>8813.06</v>
      </c>
      <c r="H33" s="85">
        <v>47520.51</v>
      </c>
      <c r="I33" s="85">
        <v>55042.51</v>
      </c>
      <c r="J33" s="85">
        <v>55844.13</v>
      </c>
      <c r="K33" s="85">
        <v>70187.62</v>
      </c>
      <c r="L33" s="85">
        <v>81158.91</v>
      </c>
      <c r="M33" s="446">
        <f t="shared" si="0"/>
        <v>12.806785954106974</v>
      </c>
      <c r="N33" s="446">
        <f t="shared" si="0"/>
        <v>10.833099726011769</v>
      </c>
      <c r="O33" s="446">
        <f t="shared" si="0"/>
        <v>11.939213664891907</v>
      </c>
      <c r="P33" s="446">
        <f t="shared" si="0"/>
        <v>11.312379590588769</v>
      </c>
      <c r="Q33" s="446">
        <f t="shared" si="0"/>
        <v>10.859017204642102</v>
      </c>
    </row>
    <row r="34" spans="1:17" ht="20.25" customHeight="1">
      <c r="A34" s="37">
        <v>27</v>
      </c>
      <c r="B34" s="34" t="s">
        <v>42</v>
      </c>
      <c r="C34" s="85">
        <v>10820.15</v>
      </c>
      <c r="D34" s="85">
        <v>11375</v>
      </c>
      <c r="E34" s="18">
        <v>11988.46</v>
      </c>
      <c r="F34" s="18">
        <v>14215.57</v>
      </c>
      <c r="G34" s="18">
        <v>14913.78</v>
      </c>
      <c r="H34" s="85">
        <v>68672.47</v>
      </c>
      <c r="I34" s="85">
        <v>77830.7</v>
      </c>
      <c r="J34" s="85">
        <v>96420.99</v>
      </c>
      <c r="K34" s="85">
        <v>111183.76</v>
      </c>
      <c r="L34" s="85">
        <v>137622.09</v>
      </c>
      <c r="M34" s="446">
        <f t="shared" si="0"/>
        <v>15.756168374313607</v>
      </c>
      <c r="N34" s="446">
        <f t="shared" si="0"/>
        <v>14.615055498665694</v>
      </c>
      <c r="O34" s="446">
        <f t="shared" si="0"/>
        <v>12.43345458286624</v>
      </c>
      <c r="P34" s="446">
        <f t="shared" si="0"/>
        <v>12.785653228493082</v>
      </c>
      <c r="Q34" s="446">
        <f t="shared" si="0"/>
        <v>10.836763196954792</v>
      </c>
    </row>
    <row r="35" spans="1:17" ht="20.25" customHeight="1">
      <c r="A35" s="37">
        <v>28</v>
      </c>
      <c r="B35" s="34" t="s">
        <v>43</v>
      </c>
      <c r="C35" s="18">
        <v>11383.56</v>
      </c>
      <c r="D35" s="18">
        <v>12068.99</v>
      </c>
      <c r="E35" s="18">
        <v>13305.12</v>
      </c>
      <c r="F35" s="18">
        <v>13817.3</v>
      </c>
      <c r="G35" s="18">
        <v>15093.34</v>
      </c>
      <c r="H35" s="85">
        <v>30167.38</v>
      </c>
      <c r="I35" s="85">
        <v>36904.39</v>
      </c>
      <c r="J35" s="85">
        <v>36921.65</v>
      </c>
      <c r="K35" s="85">
        <v>47264.2</v>
      </c>
      <c r="L35" s="85">
        <v>65847.91</v>
      </c>
      <c r="M35" s="446">
        <f t="shared" si="0"/>
        <v>37.734665721716631</v>
      </c>
      <c r="N35" s="446">
        <f t="shared" si="0"/>
        <v>32.703399243287855</v>
      </c>
      <c r="O35" s="446">
        <f t="shared" si="0"/>
        <v>36.036092644830333</v>
      </c>
      <c r="P35" s="446">
        <f t="shared" si="0"/>
        <v>29.234177241971725</v>
      </c>
      <c r="Q35" s="446">
        <f t="shared" si="0"/>
        <v>22.921517174956652</v>
      </c>
    </row>
    <row r="36" spans="1:17" s="44" customFormat="1" ht="20.25" customHeight="1">
      <c r="A36" s="35"/>
      <c r="B36" s="35" t="s">
        <v>44</v>
      </c>
      <c r="C36" s="78">
        <f t="shared" ref="C36:I36" si="2">SUM(C19:C35)</f>
        <v>91330.739999999991</v>
      </c>
      <c r="D36" s="78">
        <f t="shared" si="2"/>
        <v>94527.07</v>
      </c>
      <c r="E36" s="78">
        <f>SUM(E19:E35)</f>
        <v>103765.5</v>
      </c>
      <c r="F36" s="78">
        <f>SUM(F19:F35)</f>
        <v>115066.40000000001</v>
      </c>
      <c r="G36" s="78">
        <f>SUM(G19:G35)</f>
        <v>129235.43</v>
      </c>
      <c r="H36" s="86">
        <f t="shared" si="2"/>
        <v>556528.67000000004</v>
      </c>
      <c r="I36" s="86">
        <f t="shared" si="2"/>
        <v>615385.59</v>
      </c>
      <c r="J36" s="78">
        <f>SUM(J19:J35)</f>
        <v>674672.22</v>
      </c>
      <c r="K36" s="78">
        <f>SUM(K19:K35)</f>
        <v>831316.60999999987</v>
      </c>
      <c r="L36" s="78">
        <f>SUM(L19:L35)</f>
        <v>988441.15</v>
      </c>
      <c r="M36" s="447">
        <f t="shared" si="0"/>
        <v>16.410787965335189</v>
      </c>
      <c r="N36" s="447">
        <f t="shared" si="0"/>
        <v>15.360624547610874</v>
      </c>
      <c r="O36" s="447">
        <f t="shared" si="0"/>
        <v>15.380135260349093</v>
      </c>
      <c r="P36" s="447">
        <f t="shared" si="0"/>
        <v>13.841465287214701</v>
      </c>
      <c r="Q36" s="447">
        <f t="shared" si="0"/>
        <v>13.07467116276978</v>
      </c>
    </row>
    <row r="37" spans="1:17" ht="20.25" customHeight="1">
      <c r="A37" s="34"/>
      <c r="B37" s="35" t="s">
        <v>61</v>
      </c>
      <c r="C37" s="86"/>
      <c r="D37" s="78"/>
      <c r="E37" s="78"/>
      <c r="F37" s="78"/>
      <c r="G37" s="78"/>
      <c r="H37" s="86"/>
      <c r="I37" s="86"/>
      <c r="J37" s="78"/>
      <c r="K37" s="78"/>
      <c r="L37" s="78"/>
      <c r="M37" s="446"/>
      <c r="N37" s="446"/>
      <c r="O37" s="446"/>
      <c r="P37" s="446"/>
      <c r="Q37" s="446"/>
    </row>
    <row r="38" spans="1:17" ht="20.25" customHeight="1">
      <c r="A38" s="37">
        <v>29</v>
      </c>
      <c r="B38" s="34" t="s">
        <v>46</v>
      </c>
      <c r="C38" s="18">
        <v>2504.34</v>
      </c>
      <c r="D38" s="18">
        <v>2511.87</v>
      </c>
      <c r="E38" s="18">
        <v>2472.9299999999998</v>
      </c>
      <c r="F38" s="18">
        <v>2579.52</v>
      </c>
      <c r="G38" s="18">
        <v>3000</v>
      </c>
      <c r="H38" s="85">
        <v>14912.39</v>
      </c>
      <c r="I38" s="85">
        <v>16352.21</v>
      </c>
      <c r="J38" s="85">
        <v>20451.34</v>
      </c>
      <c r="K38" s="85">
        <v>25024.1</v>
      </c>
      <c r="L38" s="85">
        <v>23293.55</v>
      </c>
      <c r="M38" s="446">
        <f t="shared" si="0"/>
        <v>16.793686323922589</v>
      </c>
      <c r="N38" s="446">
        <f t="shared" si="0"/>
        <v>15.361042941596272</v>
      </c>
      <c r="O38" s="446">
        <f t="shared" si="0"/>
        <v>12.09177491548231</v>
      </c>
      <c r="P38" s="446">
        <f t="shared" si="0"/>
        <v>10.308142950196011</v>
      </c>
      <c r="Q38" s="446">
        <f t="shared" si="0"/>
        <v>12.879101725584979</v>
      </c>
    </row>
    <row r="39" spans="1:17" ht="20.25" customHeight="1">
      <c r="A39" s="37">
        <v>30</v>
      </c>
      <c r="B39" s="34" t="s">
        <v>47</v>
      </c>
      <c r="C39" s="18">
        <v>217</v>
      </c>
      <c r="D39" s="18">
        <v>260</v>
      </c>
      <c r="E39" s="18">
        <v>288</v>
      </c>
      <c r="F39" s="18">
        <v>330</v>
      </c>
      <c r="G39" s="18">
        <v>386</v>
      </c>
      <c r="H39" s="85">
        <v>2136</v>
      </c>
      <c r="I39" s="85">
        <v>2459</v>
      </c>
      <c r="J39" s="85">
        <v>2842</v>
      </c>
      <c r="K39" s="85">
        <v>3200</v>
      </c>
      <c r="L39" s="85">
        <v>3682</v>
      </c>
      <c r="M39" s="446">
        <f t="shared" si="0"/>
        <v>10.159176029962547</v>
      </c>
      <c r="N39" s="446">
        <f t="shared" si="0"/>
        <v>10.573403822692152</v>
      </c>
      <c r="O39" s="446">
        <f t="shared" si="0"/>
        <v>10.133708655876143</v>
      </c>
      <c r="P39" s="446">
        <f t="shared" si="0"/>
        <v>10.3125</v>
      </c>
      <c r="Q39" s="446">
        <f t="shared" si="0"/>
        <v>10.483432916892992</v>
      </c>
    </row>
    <row r="40" spans="1:17" s="44" customFormat="1" ht="20.25" customHeight="1">
      <c r="A40" s="35"/>
      <c r="B40" s="35" t="s">
        <v>62</v>
      </c>
      <c r="C40" s="78">
        <f t="shared" ref="C40:I40" si="3">SUM(C38:C39)</f>
        <v>2721.34</v>
      </c>
      <c r="D40" s="78">
        <f t="shared" si="3"/>
        <v>2771.87</v>
      </c>
      <c r="E40" s="78">
        <f>SUM(E38:E39)</f>
        <v>2760.93</v>
      </c>
      <c r="F40" s="78">
        <f>SUM(F38:F39)</f>
        <v>2909.52</v>
      </c>
      <c r="G40" s="78">
        <f>SUM(G38:G39)</f>
        <v>3386</v>
      </c>
      <c r="H40" s="86">
        <f t="shared" si="3"/>
        <v>17048.39</v>
      </c>
      <c r="I40" s="86">
        <f t="shared" si="3"/>
        <v>18811.21</v>
      </c>
      <c r="J40" s="78">
        <f>SUM(J38:J39)</f>
        <v>23293.34</v>
      </c>
      <c r="K40" s="78">
        <f>SUM(K38:K39)</f>
        <v>28224.1</v>
      </c>
      <c r="L40" s="78">
        <f>SUM(L38:L39)</f>
        <v>26975.55</v>
      </c>
      <c r="M40" s="447">
        <f t="shared" si="0"/>
        <v>15.962445720680957</v>
      </c>
      <c r="N40" s="447">
        <f t="shared" si="0"/>
        <v>14.735203104957098</v>
      </c>
      <c r="O40" s="447">
        <f t="shared" si="0"/>
        <v>11.85287296712279</v>
      </c>
      <c r="P40" s="447">
        <f t="shared" si="0"/>
        <v>10.308636945022162</v>
      </c>
      <c r="Q40" s="447">
        <f t="shared" si="0"/>
        <v>12.552107371304755</v>
      </c>
    </row>
    <row r="41" spans="1:17" ht="9" customHeight="1">
      <c r="A41" s="34"/>
      <c r="B41" s="34"/>
      <c r="C41" s="85"/>
      <c r="D41" s="85"/>
      <c r="E41" s="18"/>
      <c r="F41" s="18"/>
      <c r="G41" s="18"/>
      <c r="H41" s="85"/>
      <c r="I41" s="85"/>
      <c r="J41" s="18"/>
      <c r="K41" s="18"/>
      <c r="L41" s="18"/>
      <c r="M41" s="447"/>
      <c r="N41" s="447"/>
      <c r="O41" s="447"/>
      <c r="P41" s="447"/>
      <c r="Q41" s="447"/>
    </row>
    <row r="42" spans="1:17" ht="18.75" customHeight="1">
      <c r="A42" s="34"/>
      <c r="B42" s="45" t="s">
        <v>49</v>
      </c>
      <c r="C42" s="86">
        <f>+C40+C36+C17</f>
        <v>102445.35999999999</v>
      </c>
      <c r="D42" s="86">
        <f t="shared" ref="D42:I42" si="4">+D40+D36+D17</f>
        <v>105379.69</v>
      </c>
      <c r="E42" s="78">
        <f t="shared" si="4"/>
        <v>115771.64</v>
      </c>
      <c r="F42" s="78">
        <f t="shared" si="4"/>
        <v>127612.70000000001</v>
      </c>
      <c r="G42" s="78">
        <f t="shared" si="4"/>
        <v>143612.03</v>
      </c>
      <c r="H42" s="86">
        <f t="shared" si="4"/>
        <v>638756.22000000009</v>
      </c>
      <c r="I42" s="86">
        <f t="shared" si="4"/>
        <v>706902.23</v>
      </c>
      <c r="J42" s="78">
        <f>+J40+J36+J17</f>
        <v>779395.92999999993</v>
      </c>
      <c r="K42" s="78">
        <f>+K40+K36+K17</f>
        <v>959391.83999999985</v>
      </c>
      <c r="L42" s="78">
        <f>+L40+L36+L17</f>
        <v>1136435.6800000002</v>
      </c>
      <c r="M42" s="447">
        <f>C42/H42*100</f>
        <v>16.038256347625072</v>
      </c>
      <c r="N42" s="447">
        <f>D42/I42*100</f>
        <v>14.907251035266928</v>
      </c>
      <c r="O42" s="447">
        <f>E42/J42*100</f>
        <v>14.854021626723149</v>
      </c>
      <c r="P42" s="447">
        <f>F42/K42*100</f>
        <v>13.301416030388587</v>
      </c>
      <c r="Q42" s="447">
        <f>G42/L42*100</f>
        <v>12.637057470775643</v>
      </c>
    </row>
    <row r="43" spans="1:17" s="14" customFormat="1" ht="12.75">
      <c r="A43" s="22"/>
      <c r="B43" s="23" t="s">
        <v>50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54" spans="2:2">
      <c r="B54" s="46"/>
    </row>
    <row r="55" spans="2:2">
      <c r="B55" s="46"/>
    </row>
    <row r="56" spans="2:2">
      <c r="B56" s="46"/>
    </row>
    <row r="58" spans="2:2">
      <c r="B58" s="46"/>
    </row>
    <row r="59" spans="2:2">
      <c r="B59" s="46"/>
    </row>
  </sheetData>
  <mergeCells count="6">
    <mergeCell ref="A1:Q1"/>
    <mergeCell ref="A2:A4"/>
    <mergeCell ref="B2:B3"/>
    <mergeCell ref="C2:F2"/>
    <mergeCell ref="H2:L2"/>
    <mergeCell ref="M2:Q2"/>
  </mergeCells>
  <phoneticPr fontId="63" type="noConversion"/>
  <printOptions horizontalCentered="1"/>
  <pageMargins left="0.35433070866141736" right="0.15748031496062992" top="0.78740157480314965" bottom="0.39370078740157483" header="0" footer="0"/>
  <pageSetup paperSize="9" scale="59" orientation="landscape" verticalDpi="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S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4" sqref="G34"/>
    </sheetView>
  </sheetViews>
  <sheetFormatPr defaultRowHeight="15"/>
  <cols>
    <col min="1" max="1" width="5.7109375" style="70" customWidth="1"/>
    <col min="2" max="2" width="38" style="54" customWidth="1"/>
    <col min="3" max="4" width="11.7109375" style="54" customWidth="1"/>
    <col min="5" max="7" width="11.7109375" style="64" customWidth="1"/>
    <col min="8" max="11" width="11.7109375" style="54" customWidth="1"/>
    <col min="12" max="12" width="11.7109375" style="64" customWidth="1"/>
    <col min="13" max="17" width="11.7109375" style="54" customWidth="1"/>
    <col min="18" max="18" width="10.7109375" style="54" hidden="1" customWidth="1"/>
    <col min="19" max="19" width="11" style="54" hidden="1" customWidth="1"/>
    <col min="20" max="16384" width="9.140625" style="54"/>
  </cols>
  <sheetData>
    <row r="1" spans="1:19" s="49" customFormat="1" ht="27" customHeight="1">
      <c r="A1" s="47"/>
      <c r="B1" s="610" t="s">
        <v>240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48"/>
      <c r="S1" s="48"/>
    </row>
    <row r="2" spans="1:19" s="51" customFormat="1" ht="33.75" customHeight="1">
      <c r="A2" s="611" t="s">
        <v>51</v>
      </c>
      <c r="B2" s="618" t="s">
        <v>1</v>
      </c>
      <c r="C2" s="612" t="s">
        <v>63</v>
      </c>
      <c r="D2" s="613"/>
      <c r="E2" s="613"/>
      <c r="F2" s="613"/>
      <c r="G2" s="614"/>
      <c r="H2" s="615" t="s">
        <v>307</v>
      </c>
      <c r="I2" s="616"/>
      <c r="J2" s="616"/>
      <c r="K2" s="616"/>
      <c r="L2" s="130"/>
      <c r="M2" s="617" t="s">
        <v>64</v>
      </c>
      <c r="N2" s="617"/>
      <c r="O2" s="617"/>
      <c r="P2" s="617"/>
      <c r="Q2" s="617"/>
      <c r="R2" s="50"/>
      <c r="S2" s="50"/>
    </row>
    <row r="3" spans="1:19" ht="18.75" customHeight="1">
      <c r="A3" s="611"/>
      <c r="B3" s="619"/>
      <c r="C3" s="448" t="s">
        <v>55</v>
      </c>
      <c r="D3" s="448" t="s">
        <v>56</v>
      </c>
      <c r="E3" s="449" t="s">
        <v>7</v>
      </c>
      <c r="F3" s="449" t="s">
        <v>8</v>
      </c>
      <c r="G3" s="449" t="s">
        <v>9</v>
      </c>
      <c r="H3" s="52" t="s">
        <v>55</v>
      </c>
      <c r="I3" s="52" t="s">
        <v>56</v>
      </c>
      <c r="J3" s="52" t="s">
        <v>7</v>
      </c>
      <c r="K3" s="52" t="s">
        <v>8</v>
      </c>
      <c r="L3" s="55" t="s">
        <v>9</v>
      </c>
      <c r="M3" s="52" t="s">
        <v>55</v>
      </c>
      <c r="N3" s="52" t="s">
        <v>56</v>
      </c>
      <c r="O3" s="52" t="s">
        <v>7</v>
      </c>
      <c r="P3" s="52" t="s">
        <v>8</v>
      </c>
      <c r="Q3" s="52" t="s">
        <v>9</v>
      </c>
      <c r="R3" s="53" t="s">
        <v>7</v>
      </c>
      <c r="S3" s="52" t="s">
        <v>8</v>
      </c>
    </row>
    <row r="4" spans="1:19" ht="15" customHeight="1">
      <c r="A4" s="611"/>
      <c r="B4" s="290">
        <v>41128</v>
      </c>
      <c r="C4" s="448" t="s">
        <v>10</v>
      </c>
      <c r="D4" s="448" t="s">
        <v>10</v>
      </c>
      <c r="E4" s="448" t="s">
        <v>10</v>
      </c>
      <c r="F4" s="450" t="s">
        <v>11</v>
      </c>
      <c r="G4" s="450" t="s">
        <v>12</v>
      </c>
      <c r="H4" s="52"/>
      <c r="I4" s="52"/>
      <c r="J4" s="52"/>
      <c r="K4" s="52"/>
      <c r="L4" s="55"/>
      <c r="M4" s="52" t="s">
        <v>10</v>
      </c>
      <c r="N4" s="52" t="s">
        <v>10</v>
      </c>
      <c r="O4" s="52" t="s">
        <v>10</v>
      </c>
      <c r="P4" s="52" t="s">
        <v>11</v>
      </c>
      <c r="Q4" s="52" t="s">
        <v>12</v>
      </c>
      <c r="R4" s="53" t="s">
        <v>65</v>
      </c>
      <c r="S4" s="52" t="s">
        <v>66</v>
      </c>
    </row>
    <row r="5" spans="1:19" ht="19.5" customHeight="1">
      <c r="A5" s="56"/>
      <c r="B5" s="57" t="s">
        <v>13</v>
      </c>
      <c r="C5" s="451"/>
      <c r="D5" s="451"/>
      <c r="E5" s="451"/>
      <c r="F5" s="451"/>
      <c r="G5" s="451"/>
      <c r="H5" s="57"/>
      <c r="I5" s="57"/>
      <c r="J5" s="57"/>
      <c r="K5" s="57"/>
      <c r="L5" s="58"/>
      <c r="M5" s="59"/>
      <c r="N5" s="59"/>
      <c r="O5" s="59"/>
      <c r="P5" s="59"/>
      <c r="Q5" s="59"/>
      <c r="R5" s="59"/>
      <c r="S5" s="59"/>
    </row>
    <row r="6" spans="1:19" s="64" customFormat="1" ht="19.5" customHeight="1">
      <c r="A6" s="60">
        <v>1</v>
      </c>
      <c r="B6" s="61" t="s">
        <v>14</v>
      </c>
      <c r="C6" s="452">
        <v>-743.44</v>
      </c>
      <c r="D6" s="452">
        <v>-916.63</v>
      </c>
      <c r="E6" s="452">
        <v>-599.24</v>
      </c>
      <c r="F6" s="452">
        <v>-1685.62</v>
      </c>
      <c r="G6" s="452">
        <v>-1974.79</v>
      </c>
      <c r="H6" s="63">
        <f ca="1">+'Aggregate As% of GSDP'!I6</f>
        <v>4810</v>
      </c>
      <c r="I6" s="63">
        <f ca="1">+'Aggregate As% of GSDP'!J6</f>
        <v>5687</v>
      </c>
      <c r="J6" s="63">
        <f ca="1">+'Aggregate As% of GSDP'!K6</f>
        <v>7085</v>
      </c>
      <c r="K6" s="63">
        <f ca="1">+'Aggregate As% of GSDP'!L6</f>
        <v>8233</v>
      </c>
      <c r="L6" s="63">
        <f ca="1">+'Aggregate As% of GSDP'!M6</f>
        <v>9357</v>
      </c>
      <c r="M6" s="62">
        <f t="shared" ref="M6:Q17" si="0">+C6/H6*100</f>
        <v>-15.456133056133057</v>
      </c>
      <c r="N6" s="62">
        <f t="shared" si="0"/>
        <v>-16.117988394584142</v>
      </c>
      <c r="O6" s="62">
        <f>+E6/J6*100</f>
        <v>-8.4578687367678196</v>
      </c>
      <c r="P6" s="62">
        <f>+F6/K6*100</f>
        <v>-20.473946313615933</v>
      </c>
      <c r="Q6" s="62">
        <f>+G6/L6*100</f>
        <v>-21.10494816714759</v>
      </c>
      <c r="R6" s="62" t="e">
        <f>+#REF!/#REF!*100</f>
        <v>#REF!</v>
      </c>
      <c r="S6" s="62" t="e">
        <f>+#REF!/#REF!*100</f>
        <v>#REF!</v>
      </c>
    </row>
    <row r="7" spans="1:19" ht="19.5" customHeight="1">
      <c r="A7" s="60">
        <v>2</v>
      </c>
      <c r="B7" s="59" t="s">
        <v>15</v>
      </c>
      <c r="C7" s="452">
        <v>-2580.77</v>
      </c>
      <c r="D7" s="452">
        <v>-3815.64</v>
      </c>
      <c r="E7" s="452">
        <v>-1098.47</v>
      </c>
      <c r="F7" s="452">
        <v>1791.14</v>
      </c>
      <c r="G7" s="452">
        <v>-2936.51</v>
      </c>
      <c r="H7" s="63">
        <f ca="1">+'Aggregate As% of GSDP'!I7</f>
        <v>71076</v>
      </c>
      <c r="I7" s="63">
        <f ca="1">+'Aggregate As% of GSDP'!J7</f>
        <v>81074</v>
      </c>
      <c r="J7" s="63">
        <f ca="1">+'Aggregate As% of GSDP'!K7</f>
        <v>92737</v>
      </c>
      <c r="K7" s="63">
        <f ca="1">+'Aggregate As% of GSDP'!L7</f>
        <v>104015</v>
      </c>
      <c r="L7" s="63">
        <f ca="1">+'Aggregate As% of GSDP'!M7</f>
        <v>115408</v>
      </c>
      <c r="M7" s="62">
        <f t="shared" si="0"/>
        <v>-3.631000619055659</v>
      </c>
      <c r="N7" s="62">
        <f t="shared" si="0"/>
        <v>-4.7063670227199834</v>
      </c>
      <c r="O7" s="62">
        <f t="shared" si="0"/>
        <v>-1.1845002534047899</v>
      </c>
      <c r="P7" s="62">
        <f t="shared" si="0"/>
        <v>1.7220016343796569</v>
      </c>
      <c r="Q7" s="62">
        <f t="shared" si="0"/>
        <v>-2.5444596561763482</v>
      </c>
      <c r="R7" s="62" t="e">
        <f>+#REF!/#REF!*100</f>
        <v>#REF!</v>
      </c>
      <c r="S7" s="62" t="e">
        <f>+#REF!/#REF!*100</f>
        <v>#REF!</v>
      </c>
    </row>
    <row r="8" spans="1:19" ht="19.5" customHeight="1">
      <c r="A8" s="60">
        <v>3</v>
      </c>
      <c r="B8" s="59" t="s">
        <v>16</v>
      </c>
      <c r="C8" s="452">
        <v>-849.77</v>
      </c>
      <c r="D8" s="452">
        <v>130.13</v>
      </c>
      <c r="E8" s="452">
        <v>805.15</v>
      </c>
      <c r="F8" s="452">
        <v>535.48</v>
      </c>
      <c r="G8" s="452">
        <v>-51.05</v>
      </c>
      <c r="H8" s="63">
        <f ca="1">+'Aggregate As% of GSDP'!I8</f>
        <v>33963</v>
      </c>
      <c r="I8" s="63">
        <f ca="1">+'Aggregate As% of GSDP'!J8</f>
        <v>41483</v>
      </c>
      <c r="J8" s="63">
        <f ca="1">+'Aggregate As% of GSDP'!K8</f>
        <v>48189</v>
      </c>
      <c r="K8" s="63">
        <f ca="1">+'Aggregate As% of GSDP'!L8</f>
        <v>56119</v>
      </c>
      <c r="L8" s="63">
        <f ca="1">+'Aggregate As% of GSDP'!M8</f>
        <v>63331</v>
      </c>
      <c r="M8" s="62">
        <f t="shared" si="0"/>
        <v>-2.5020463445514238</v>
      </c>
      <c r="N8" s="62">
        <f t="shared" si="0"/>
        <v>0.31369476653086809</v>
      </c>
      <c r="O8" s="62">
        <f t="shared" si="0"/>
        <v>1.6708169914295794</v>
      </c>
      <c r="P8" s="62">
        <f t="shared" si="0"/>
        <v>0.95418663910618506</v>
      </c>
      <c r="Q8" s="62">
        <f t="shared" si="0"/>
        <v>-8.0608232934897606E-2</v>
      </c>
      <c r="R8" s="62" t="e">
        <f>+#REF!/#REF!*100</f>
        <v>#REF!</v>
      </c>
      <c r="S8" s="62" t="e">
        <f>+#REF!/#REF!*100</f>
        <v>#REF!</v>
      </c>
    </row>
    <row r="9" spans="1:19" s="64" customFormat="1" ht="19.5" customHeight="1">
      <c r="A9" s="60">
        <v>4</v>
      </c>
      <c r="B9" s="61" t="s">
        <v>60</v>
      </c>
      <c r="C9" s="452">
        <v>-1447.74</v>
      </c>
      <c r="D9" s="452">
        <v>-2255.0700000000002</v>
      </c>
      <c r="E9" s="452">
        <v>-2264</v>
      </c>
      <c r="F9" s="452">
        <v>-3766.85</v>
      </c>
      <c r="G9" s="452">
        <v>-3948.5</v>
      </c>
      <c r="H9" s="63">
        <f ca="1">+'Aggregate As% of GSDP'!I9</f>
        <v>37099</v>
      </c>
      <c r="I9" s="63">
        <f ca="1">+'Aggregate As% of GSDP'!J9</f>
        <v>42315</v>
      </c>
      <c r="J9" s="63">
        <f ca="1">+'Aggregate As% of GSDP'!K9</f>
        <v>48382</v>
      </c>
      <c r="K9" s="63">
        <f ca="1">+'Aggregate As% of GSDP'!L9</f>
        <v>55446</v>
      </c>
      <c r="L9" s="63">
        <f ca="1">+'Aggregate As% of GSDP'!M9</f>
        <v>63589</v>
      </c>
      <c r="M9" s="62">
        <f t="shared" si="0"/>
        <v>-3.9023693361007035</v>
      </c>
      <c r="N9" s="62">
        <f t="shared" si="0"/>
        <v>-5.3292449485997881</v>
      </c>
      <c r="O9" s="62">
        <f t="shared" si="0"/>
        <v>-4.6794262328965317</v>
      </c>
      <c r="P9" s="62">
        <f t="shared" si="0"/>
        <v>-6.7937272300977529</v>
      </c>
      <c r="Q9" s="62">
        <f t="shared" si="0"/>
        <v>-6.2094072874239261</v>
      </c>
      <c r="R9" s="62" t="e">
        <f>+#REF!/#REF!*100</f>
        <v>#REF!</v>
      </c>
      <c r="S9" s="62" t="e">
        <f>+#REF!/#REF!*100</f>
        <v>#REF!</v>
      </c>
    </row>
    <row r="10" spans="1:19" ht="19.5" customHeight="1">
      <c r="A10" s="60">
        <v>5</v>
      </c>
      <c r="B10" s="59" t="s">
        <v>18</v>
      </c>
      <c r="C10" s="452">
        <v>-1215.75</v>
      </c>
      <c r="D10" s="452">
        <v>-1250.33</v>
      </c>
      <c r="E10" s="452">
        <v>-858.84</v>
      </c>
      <c r="F10" s="452">
        <v>-1351.93</v>
      </c>
      <c r="G10" s="452">
        <v>-1138.31</v>
      </c>
      <c r="H10" s="63">
        <f ca="1">+'Aggregate As% of GSDP'!I10</f>
        <v>6783</v>
      </c>
      <c r="I10" s="63">
        <f ca="1">+'Aggregate As% of GSDP'!J10</f>
        <v>7399</v>
      </c>
      <c r="J10" s="63">
        <f ca="1">+'Aggregate As% of GSDP'!K10</f>
        <v>8314</v>
      </c>
      <c r="K10" s="63">
        <f ca="1">+'Aggregate As% of GSDP'!L10</f>
        <v>9198</v>
      </c>
      <c r="L10" s="63">
        <f ca="1">+'Aggregate As% of GSDP'!M10</f>
        <v>10188</v>
      </c>
      <c r="M10" s="62">
        <f t="shared" si="0"/>
        <v>-17.923485183547104</v>
      </c>
      <c r="N10" s="62">
        <f t="shared" si="0"/>
        <v>-16.89863495066901</v>
      </c>
      <c r="O10" s="62">
        <f t="shared" si="0"/>
        <v>-10.330045706038009</v>
      </c>
      <c r="P10" s="62">
        <f t="shared" si="0"/>
        <v>-14.698086540552294</v>
      </c>
      <c r="Q10" s="62">
        <f t="shared" si="0"/>
        <v>-11.173046721633293</v>
      </c>
      <c r="R10" s="62" t="e">
        <f>+#REF!/#REF!*100</f>
        <v>#REF!</v>
      </c>
      <c r="S10" s="62" t="e">
        <f>+#REF!/#REF!*100</f>
        <v>#REF!</v>
      </c>
    </row>
    <row r="11" spans="1:19" s="64" customFormat="1" ht="19.5" customHeight="1">
      <c r="A11" s="60">
        <v>6</v>
      </c>
      <c r="B11" s="61" t="s">
        <v>19</v>
      </c>
      <c r="C11" s="452">
        <v>-187.71</v>
      </c>
      <c r="D11" s="452">
        <v>-127.86</v>
      </c>
      <c r="E11" s="452">
        <v>-264.95999999999998</v>
      </c>
      <c r="F11" s="452">
        <v>-247.74</v>
      </c>
      <c r="G11" s="452">
        <v>-628.35</v>
      </c>
      <c r="H11" s="63">
        <f ca="1">+'Aggregate As% of GSDP'!I11</f>
        <v>9735</v>
      </c>
      <c r="I11" s="63">
        <f ca="1">+'Aggregate As% of GSDP'!J11</f>
        <v>11617</v>
      </c>
      <c r="J11" s="63">
        <f ca="1">+'Aggregate As% of GSDP'!K11</f>
        <v>12709</v>
      </c>
      <c r="K11" s="63">
        <f ca="1">+'Aggregate As% of GSDP'!L11</f>
        <v>14086</v>
      </c>
      <c r="L11" s="63">
        <f ca="1">+'Aggregate As% of GSDP'!M11</f>
        <v>15895</v>
      </c>
      <c r="M11" s="62">
        <f t="shared" si="0"/>
        <v>-1.9281972265023113</v>
      </c>
      <c r="N11" s="62">
        <f t="shared" si="0"/>
        <v>-1.1006283894292848</v>
      </c>
      <c r="O11" s="62">
        <f t="shared" si="0"/>
        <v>-2.0848217798410573</v>
      </c>
      <c r="P11" s="62">
        <f t="shared" si="0"/>
        <v>-1.7587675706375125</v>
      </c>
      <c r="Q11" s="62">
        <f t="shared" si="0"/>
        <v>-3.9531299150676316</v>
      </c>
      <c r="R11" s="62" t="e">
        <f>+#REF!/#REF!*100</f>
        <v>#REF!</v>
      </c>
      <c r="S11" s="62" t="e">
        <f>+#REF!/#REF!*100</f>
        <v>#REF!</v>
      </c>
    </row>
    <row r="12" spans="1:19" s="64" customFormat="1" ht="19.5" customHeight="1">
      <c r="A12" s="60">
        <v>7</v>
      </c>
      <c r="B12" s="61" t="s">
        <v>20</v>
      </c>
      <c r="C12" s="452">
        <v>-131.35</v>
      </c>
      <c r="D12" s="452">
        <v>-339.3</v>
      </c>
      <c r="E12" s="452">
        <v>-380.18</v>
      </c>
      <c r="F12" s="452">
        <v>580.92999999999995</v>
      </c>
      <c r="G12" s="452">
        <v>-35.92</v>
      </c>
      <c r="H12" s="63">
        <f ca="1">+'Aggregate As% of GSDP'!I12</f>
        <v>3816</v>
      </c>
      <c r="I12" s="63">
        <f ca="1">+'Aggregate As% of GSDP'!J12</f>
        <v>4577</v>
      </c>
      <c r="J12" s="63">
        <f ca="1">+'Aggregate As% of GSDP'!K12</f>
        <v>5260</v>
      </c>
      <c r="K12" s="63">
        <f ca="1">+'Aggregate As% of GSDP'!L12</f>
        <v>6058</v>
      </c>
      <c r="L12" s="63">
        <f ca="1">+'Aggregate As% of GSDP'!M12</f>
        <v>6666.8290000000006</v>
      </c>
      <c r="M12" s="62">
        <f t="shared" si="0"/>
        <v>-3.4420859538784065</v>
      </c>
      <c r="N12" s="62">
        <f t="shared" si="0"/>
        <v>-7.4131527201223513</v>
      </c>
      <c r="O12" s="62">
        <f t="shared" si="0"/>
        <v>-7.2277566539923956</v>
      </c>
      <c r="P12" s="62">
        <f t="shared" si="0"/>
        <v>9.5894684714427196</v>
      </c>
      <c r="Q12" s="62">
        <f t="shared" si="0"/>
        <v>-0.53878688053945889</v>
      </c>
      <c r="R12" s="62" t="e">
        <f>+#REF!/#REF!*100</f>
        <v>#REF!</v>
      </c>
      <c r="S12" s="62" t="e">
        <f>+#REF!/#REF!*100</f>
        <v>#REF!</v>
      </c>
    </row>
    <row r="13" spans="1:19" s="64" customFormat="1" ht="19.5" customHeight="1">
      <c r="A13" s="60">
        <v>8</v>
      </c>
      <c r="B13" s="61" t="s">
        <v>21</v>
      </c>
      <c r="C13" s="452">
        <v>-423.74</v>
      </c>
      <c r="D13" s="452">
        <v>-489.13</v>
      </c>
      <c r="E13" s="452">
        <v>-496.19</v>
      </c>
      <c r="F13" s="452">
        <v>-310.23</v>
      </c>
      <c r="G13" s="452">
        <v>-1011.06</v>
      </c>
      <c r="H13" s="63">
        <f ca="1">+'Aggregate As% of GSDP'!I13</f>
        <v>8075</v>
      </c>
      <c r="I13" s="63">
        <f ca="1">+'Aggregate As% of GSDP'!J13</f>
        <v>9436</v>
      </c>
      <c r="J13" s="63">
        <f ca="1">+'Aggregate As% of GSDP'!K13</f>
        <v>10507</v>
      </c>
      <c r="K13" s="63">
        <f ca="1">+'Aggregate As% of GSDP'!L13</f>
        <v>11190</v>
      </c>
      <c r="L13" s="63">
        <f ca="1">+'Aggregate As% of GSDP'!M13</f>
        <v>12134</v>
      </c>
      <c r="M13" s="62">
        <f t="shared" si="0"/>
        <v>-5.2475541795665634</v>
      </c>
      <c r="N13" s="62">
        <f t="shared" si="0"/>
        <v>-5.183658329800763</v>
      </c>
      <c r="O13" s="62">
        <f t="shared" si="0"/>
        <v>-4.7224707337965164</v>
      </c>
      <c r="P13" s="62">
        <f t="shared" si="0"/>
        <v>-2.7723860589812332</v>
      </c>
      <c r="Q13" s="62">
        <f t="shared" si="0"/>
        <v>-8.3324542607549024</v>
      </c>
      <c r="R13" s="62" t="e">
        <f>+#REF!/#REF!*100</f>
        <v>#REF!</v>
      </c>
      <c r="S13" s="62" t="e">
        <f>+#REF!/#REF!*100</f>
        <v>#REF!</v>
      </c>
    </row>
    <row r="14" spans="1:19" s="64" customFormat="1" ht="19.5" customHeight="1">
      <c r="A14" s="60">
        <v>9</v>
      </c>
      <c r="B14" s="61" t="s">
        <v>22</v>
      </c>
      <c r="C14" s="452">
        <v>-350.85</v>
      </c>
      <c r="D14" s="452">
        <v>-377.64</v>
      </c>
      <c r="E14" s="452">
        <v>-516.35</v>
      </c>
      <c r="F14" s="452">
        <v>-139.78</v>
      </c>
      <c r="G14" s="452">
        <v>-952.78</v>
      </c>
      <c r="H14" s="63">
        <f ca="1">+'Aggregate As% of GSDP'!I14</f>
        <v>2506</v>
      </c>
      <c r="I14" s="63">
        <f ca="1">+'Aggregate As% of GSDP'!J14</f>
        <v>3229</v>
      </c>
      <c r="J14" s="63">
        <f ca="1">+'Aggregate As% of GSDP'!K14</f>
        <v>6133</v>
      </c>
      <c r="K14" s="63">
        <f ca="1">+'Aggregate As% of GSDP'!L14</f>
        <v>7145</v>
      </c>
      <c r="L14" s="63">
        <f ca="1">+'Aggregate As% of GSDP'!M14</f>
        <v>8400</v>
      </c>
      <c r="M14" s="62">
        <f t="shared" si="0"/>
        <v>-14.000399042298483</v>
      </c>
      <c r="N14" s="62">
        <f t="shared" si="0"/>
        <v>-11.695261690925983</v>
      </c>
      <c r="O14" s="62">
        <f t="shared" si="0"/>
        <v>-8.4192075656285663</v>
      </c>
      <c r="P14" s="62">
        <f t="shared" si="0"/>
        <v>-1.9563331000699791</v>
      </c>
      <c r="Q14" s="62">
        <f t="shared" si="0"/>
        <v>-11.342619047619047</v>
      </c>
      <c r="R14" s="62" t="e">
        <f>+#REF!/#REF!*100</f>
        <v>#REF!</v>
      </c>
      <c r="S14" s="62" t="e">
        <f>+#REF!/#REF!*100</f>
        <v>#REF!</v>
      </c>
    </row>
    <row r="15" spans="1:19" s="64" customFormat="1" ht="19.5" customHeight="1">
      <c r="A15" s="60">
        <v>10</v>
      </c>
      <c r="B15" s="61" t="s">
        <v>23</v>
      </c>
      <c r="C15" s="452">
        <v>-904.85</v>
      </c>
      <c r="D15" s="452">
        <v>-918.05</v>
      </c>
      <c r="E15" s="452">
        <v>-187.57</v>
      </c>
      <c r="F15" s="452">
        <v>-809.13</v>
      </c>
      <c r="G15" s="452">
        <v>-1089.71</v>
      </c>
      <c r="H15" s="63">
        <f ca="1">+'Aggregate As% of GSDP'!I15</f>
        <v>11797</v>
      </c>
      <c r="I15" s="63">
        <f ca="1">+'Aggregate As% of GSDP'!J15</f>
        <v>13573</v>
      </c>
      <c r="J15" s="63">
        <f ca="1">+'Aggregate As% of GSDP'!K15</f>
        <v>15348</v>
      </c>
      <c r="K15" s="63">
        <f ca="1">+'Aggregate As% of GSDP'!L15</f>
        <v>17387</v>
      </c>
      <c r="L15" s="63">
        <f ca="1">+'Aggregate As% of GSDP'!M15</f>
        <v>19731</v>
      </c>
      <c r="M15" s="62">
        <f t="shared" si="0"/>
        <v>-7.6701703823005856</v>
      </c>
      <c r="N15" s="62">
        <f t="shared" si="0"/>
        <v>-6.7637957710159871</v>
      </c>
      <c r="O15" s="62">
        <f t="shared" si="0"/>
        <v>-1.2221136304404483</v>
      </c>
      <c r="P15" s="62">
        <f t="shared" si="0"/>
        <v>-4.6536492781963537</v>
      </c>
      <c r="Q15" s="62">
        <f t="shared" si="0"/>
        <v>-5.5228320916324574</v>
      </c>
      <c r="R15" s="62" t="e">
        <f>+#REF!/#REF!*100</f>
        <v>#REF!</v>
      </c>
      <c r="S15" s="62" t="e">
        <f>+#REF!/#REF!*100</f>
        <v>#REF!</v>
      </c>
    </row>
    <row r="16" spans="1:19" s="64" customFormat="1" ht="19.5" customHeight="1">
      <c r="A16" s="60">
        <v>11</v>
      </c>
      <c r="B16" s="61" t="s">
        <v>24</v>
      </c>
      <c r="C16" s="452">
        <v>-636.53</v>
      </c>
      <c r="D16" s="452">
        <v>-239.53</v>
      </c>
      <c r="E16" s="452">
        <v>1171.3499999999999</v>
      </c>
      <c r="F16" s="452">
        <v>13.36</v>
      </c>
      <c r="G16" s="452">
        <v>-309.3</v>
      </c>
      <c r="H16" s="63">
        <f ca="1">+'Aggregate As% of GSDP'!I16</f>
        <v>45856</v>
      </c>
      <c r="I16" s="63">
        <f ca="1">+'Aggregate As% of GSDP'!J16</f>
        <v>56025</v>
      </c>
      <c r="J16" s="63">
        <f ca="1">+'Aggregate As% of GSDP'!K16</f>
        <v>70855</v>
      </c>
      <c r="K16" s="63">
        <f ca="1">+'Aggregate As% of GSDP'!L16</f>
        <v>82460</v>
      </c>
      <c r="L16" s="63">
        <f ca="1">+'Aggregate As% of GSDP'!M16</f>
        <v>95201</v>
      </c>
      <c r="M16" s="62">
        <f t="shared" si="0"/>
        <v>-1.3881062456385205</v>
      </c>
      <c r="N16" s="62">
        <f t="shared" si="0"/>
        <v>-0.42754127621597504</v>
      </c>
      <c r="O16" s="62">
        <f t="shared" si="0"/>
        <v>1.6531649142615199</v>
      </c>
      <c r="P16" s="62">
        <f t="shared" si="0"/>
        <v>1.6201794809604656E-2</v>
      </c>
      <c r="Q16" s="62">
        <f t="shared" si="0"/>
        <v>-0.32489154525687758</v>
      </c>
      <c r="R16" s="62" t="e">
        <f>+#REF!/#REF!*100</f>
        <v>#REF!</v>
      </c>
      <c r="S16" s="62" t="e">
        <f>+#REF!/#REF!*100</f>
        <v>#REF!</v>
      </c>
    </row>
    <row r="17" spans="1:19" s="67" customFormat="1" ht="19.5" customHeight="1">
      <c r="A17" s="55"/>
      <c r="B17" s="58" t="s">
        <v>25</v>
      </c>
      <c r="C17" s="453">
        <f t="shared" ref="C17:L17" si="1">SUM(C6:C16)</f>
        <v>-9472.5</v>
      </c>
      <c r="D17" s="453">
        <f t="shared" si="1"/>
        <v>-10599.049999999997</v>
      </c>
      <c r="E17" s="453">
        <f t="shared" si="1"/>
        <v>-4689.2999999999993</v>
      </c>
      <c r="F17" s="453">
        <f t="shared" si="1"/>
        <v>-5390.37</v>
      </c>
      <c r="G17" s="453">
        <f t="shared" si="1"/>
        <v>-14076.279999999999</v>
      </c>
      <c r="H17" s="66">
        <f t="shared" si="1"/>
        <v>235516</v>
      </c>
      <c r="I17" s="66">
        <f t="shared" si="1"/>
        <v>276415</v>
      </c>
      <c r="J17" s="66">
        <f t="shared" si="1"/>
        <v>325519</v>
      </c>
      <c r="K17" s="66">
        <f t="shared" si="1"/>
        <v>371337</v>
      </c>
      <c r="L17" s="66">
        <f t="shared" si="1"/>
        <v>419900.82900000003</v>
      </c>
      <c r="M17" s="65">
        <f t="shared" si="0"/>
        <v>-4.0220197353895273</v>
      </c>
      <c r="N17" s="62">
        <f t="shared" si="0"/>
        <v>-3.8344699093753944</v>
      </c>
      <c r="O17" s="65">
        <f>+E17/J17*100</f>
        <v>-1.4405610732399643</v>
      </c>
      <c r="P17" s="65">
        <f>+F17/K17*100</f>
        <v>-1.4516113395648698</v>
      </c>
      <c r="Q17" s="65">
        <f>+G17/L17*100</f>
        <v>-3.3522867848398552</v>
      </c>
      <c r="R17" s="65" t="e">
        <f>+#REF!/#REF!*100</f>
        <v>#REF!</v>
      </c>
      <c r="S17" s="65" t="e">
        <f>+#REF!/#REF!*100</f>
        <v>#REF!</v>
      </c>
    </row>
    <row r="18" spans="1:19" s="64" customFormat="1" ht="19.5" customHeight="1">
      <c r="A18" s="60"/>
      <c r="B18" s="58" t="s">
        <v>26</v>
      </c>
      <c r="C18" s="453"/>
      <c r="D18" s="453"/>
      <c r="E18" s="453"/>
      <c r="F18" s="453"/>
      <c r="G18" s="453"/>
      <c r="H18" s="66"/>
      <c r="I18" s="66"/>
      <c r="J18" s="66"/>
      <c r="K18" s="66"/>
      <c r="L18" s="66"/>
      <c r="M18" s="62"/>
      <c r="N18" s="62"/>
      <c r="O18" s="62"/>
      <c r="P18" s="62"/>
      <c r="Q18" s="62"/>
      <c r="R18" s="62"/>
      <c r="S18" s="62"/>
    </row>
    <row r="19" spans="1:19" ht="19.5" customHeight="1">
      <c r="A19" s="56">
        <v>12</v>
      </c>
      <c r="B19" s="59" t="s">
        <v>27</v>
      </c>
      <c r="C19" s="452">
        <v>-158.99</v>
      </c>
      <c r="D19" s="452">
        <v>-1004.23</v>
      </c>
      <c r="E19" s="452">
        <v>-1230.42</v>
      </c>
      <c r="F19" s="452">
        <v>-2462.0500000000002</v>
      </c>
      <c r="G19" s="452">
        <v>-3825.64</v>
      </c>
      <c r="H19" s="63">
        <f ca="1">+'Aggregate As% of GSDP'!I19</f>
        <v>364813</v>
      </c>
      <c r="I19" s="63">
        <f ca="1">+'Aggregate As% of GSDP'!J19</f>
        <v>426765</v>
      </c>
      <c r="J19" s="63">
        <f ca="1">+'Aggregate As% of GSDP'!K19</f>
        <v>490411</v>
      </c>
      <c r="K19" s="63">
        <f ca="1">+'Aggregate As% of GSDP'!L19</f>
        <v>588963</v>
      </c>
      <c r="L19" s="63">
        <f ca="1">+'Aggregate As% of GSDP'!M19</f>
        <v>675798</v>
      </c>
      <c r="M19" s="62">
        <f t="shared" ref="M19:Q36" si="2">+C19/H19*100</f>
        <v>-4.3581232028463902E-2</v>
      </c>
      <c r="N19" s="62">
        <f t="shared" si="2"/>
        <v>-0.23531217414736447</v>
      </c>
      <c r="O19" s="62">
        <f t="shared" si="2"/>
        <v>-0.25089567729924495</v>
      </c>
      <c r="P19" s="62">
        <f t="shared" si="2"/>
        <v>-0.41803135341269315</v>
      </c>
      <c r="Q19" s="62">
        <f t="shared" si="2"/>
        <v>-0.56609223466183678</v>
      </c>
      <c r="R19" s="62" t="e">
        <f>+#REF!/#REF!*100</f>
        <v>#REF!</v>
      </c>
      <c r="S19" s="62" t="e">
        <f>+#REF!/#REF!*100</f>
        <v>#REF!</v>
      </c>
    </row>
    <row r="20" spans="1:19" ht="19.5" customHeight="1">
      <c r="A20" s="56">
        <v>13</v>
      </c>
      <c r="B20" s="59" t="s">
        <v>28</v>
      </c>
      <c r="C20" s="452">
        <v>-4646.8500000000004</v>
      </c>
      <c r="D20" s="452">
        <v>-4469.12</v>
      </c>
      <c r="E20" s="452">
        <v>-2942.65</v>
      </c>
      <c r="F20" s="452">
        <v>-6316.41</v>
      </c>
      <c r="G20" s="452">
        <v>-8111.41</v>
      </c>
      <c r="H20" s="63">
        <f ca="1">+'Aggregate As% of GSDP'!I20</f>
        <v>113680</v>
      </c>
      <c r="I20" s="63">
        <f ca="1">+'Aggregate As% of GSDP'!J20</f>
        <v>142279</v>
      </c>
      <c r="J20" s="63">
        <f ca="1">+'Aggregate As% of GSDP'!K20</f>
        <v>163800</v>
      </c>
      <c r="K20" s="63">
        <f ca="1">+'Aggregate As% of GSDP'!L20</f>
        <v>201856</v>
      </c>
      <c r="L20" s="63">
        <f ca="1">+'Aggregate As% of GSDP'!M20</f>
        <v>252694</v>
      </c>
      <c r="M20" s="62">
        <f t="shared" si="2"/>
        <v>-4.0876583391977483</v>
      </c>
      <c r="N20" s="62">
        <f t="shared" si="2"/>
        <v>-3.1410960155750325</v>
      </c>
      <c r="O20" s="62">
        <f t="shared" si="2"/>
        <v>-1.7964896214896215</v>
      </c>
      <c r="P20" s="62">
        <f t="shared" si="2"/>
        <v>-3.1291663363982245</v>
      </c>
      <c r="Q20" s="62">
        <f t="shared" si="2"/>
        <v>-3.2099733274236826</v>
      </c>
      <c r="R20" s="62" t="e">
        <f>+#REF!/#REF!*100</f>
        <v>#REF!</v>
      </c>
      <c r="S20" s="62" t="e">
        <f>+#REF!/#REF!*100</f>
        <v>#REF!</v>
      </c>
    </row>
    <row r="21" spans="1:19" ht="19.5" customHeight="1">
      <c r="A21" s="56">
        <v>14</v>
      </c>
      <c r="B21" s="59" t="s">
        <v>29</v>
      </c>
      <c r="C21" s="452">
        <v>-3038.81</v>
      </c>
      <c r="D21" s="452">
        <v>-1869.06</v>
      </c>
      <c r="E21" s="452">
        <v>-888.2</v>
      </c>
      <c r="F21" s="452">
        <v>-3363.79</v>
      </c>
      <c r="G21" s="452">
        <v>-1348.13</v>
      </c>
      <c r="H21" s="63">
        <f ca="1">+'Aggregate As% of GSDP'!I21</f>
        <v>80255</v>
      </c>
      <c r="I21" s="63">
        <f ca="1">+'Aggregate As% of GSDP'!J21</f>
        <v>96972</v>
      </c>
      <c r="J21" s="63">
        <f ca="1">+'Aggregate As% of GSDP'!K21</f>
        <v>99262</v>
      </c>
      <c r="K21" s="63">
        <f ca="1">+'Aggregate As% of GSDP'!L21</f>
        <v>117567</v>
      </c>
      <c r="L21" s="63">
        <f ca="1">+'Aggregate As% of GSDP'!M21</f>
        <v>135536</v>
      </c>
      <c r="M21" s="62">
        <f t="shared" si="2"/>
        <v>-3.7864432122609184</v>
      </c>
      <c r="N21" s="62">
        <f t="shared" si="2"/>
        <v>-1.9274223487192179</v>
      </c>
      <c r="O21" s="62">
        <f t="shared" si="2"/>
        <v>-0.89480365094396652</v>
      </c>
      <c r="P21" s="62">
        <f t="shared" si="2"/>
        <v>-2.8611685251813861</v>
      </c>
      <c r="Q21" s="62">
        <f t="shared" si="2"/>
        <v>-0.99466562389328295</v>
      </c>
      <c r="R21" s="62" t="e">
        <f>+#REF!/#REF!*100</f>
        <v>#REF!</v>
      </c>
      <c r="S21" s="62" t="e">
        <f>+#REF!/#REF!*100</f>
        <v>#REF!</v>
      </c>
    </row>
    <row r="22" spans="1:19" ht="19.5" customHeight="1">
      <c r="A22" s="56">
        <v>15</v>
      </c>
      <c r="B22" s="59" t="s">
        <v>30</v>
      </c>
      <c r="C22" s="452">
        <v>-69.900000000000006</v>
      </c>
      <c r="D22" s="452">
        <v>-102.85</v>
      </c>
      <c r="E22" s="452">
        <v>127.2</v>
      </c>
      <c r="F22" s="452">
        <v>-274.42</v>
      </c>
      <c r="G22" s="452">
        <v>-234.85</v>
      </c>
      <c r="H22" s="63">
        <f ca="1">+'Aggregate As% of GSDP'!I22</f>
        <v>19565</v>
      </c>
      <c r="I22" s="63">
        <f ca="1">+'Aggregate As% of GSDP'!J22</f>
        <v>25414</v>
      </c>
      <c r="J22" s="63">
        <f ca="1">+'Aggregate As% of GSDP'!K22</f>
        <v>29126</v>
      </c>
      <c r="K22" s="63">
        <f ca="1">+'Aggregate As% of GSDP'!L22</f>
        <v>32563</v>
      </c>
      <c r="L22" s="63">
        <f ca="1">+'Aggregate As% of GSDP'!M22</f>
        <v>44460</v>
      </c>
      <c r="M22" s="62">
        <f t="shared" si="2"/>
        <v>-0.35727063634040379</v>
      </c>
      <c r="N22" s="62">
        <f t="shared" si="2"/>
        <v>-0.4046981978437082</v>
      </c>
      <c r="O22" s="62">
        <f t="shared" si="2"/>
        <v>0.43672320263681935</v>
      </c>
      <c r="P22" s="62">
        <f t="shared" si="2"/>
        <v>-0.84273562018241566</v>
      </c>
      <c r="Q22" s="62">
        <f t="shared" si="2"/>
        <v>-0.5282276203328834</v>
      </c>
      <c r="R22" s="62" t="e">
        <f>+#REF!/#REF!*100</f>
        <v>#REF!</v>
      </c>
      <c r="S22" s="62" t="e">
        <f>+#REF!/#REF!*100</f>
        <v>#REF!</v>
      </c>
    </row>
    <row r="23" spans="1:19" ht="19.5" customHeight="1">
      <c r="A23" s="56">
        <v>16</v>
      </c>
      <c r="B23" s="59" t="s">
        <v>31</v>
      </c>
      <c r="C23" s="452">
        <v>-2826.07</v>
      </c>
      <c r="D23" s="452">
        <v>-818.68</v>
      </c>
      <c r="E23" s="452">
        <v>7104.45</v>
      </c>
      <c r="F23" s="452">
        <v>2947.88</v>
      </c>
      <c r="G23" s="452">
        <v>-443.44</v>
      </c>
      <c r="H23" s="63">
        <f ca="1">+'Aggregate As% of GSDP'!I23</f>
        <v>329285</v>
      </c>
      <c r="I23" s="63">
        <f ca="1">+'Aggregate As% of GSDP'!J23</f>
        <v>367912</v>
      </c>
      <c r="J23" s="63">
        <f ca="1">+'Aggregate As% of GSDP'!K23</f>
        <v>427555</v>
      </c>
      <c r="K23" s="63">
        <f ca="1">+'Aggregate As% of GSDP'!L23</f>
        <v>513173</v>
      </c>
      <c r="L23" s="63">
        <f ca="1">+'Aggregate As% of GSDP'!M23</f>
        <v>586300.15250000008</v>
      </c>
      <c r="M23" s="62">
        <f t="shared" si="2"/>
        <v>-0.85824437797045117</v>
      </c>
      <c r="N23" s="62">
        <f t="shared" si="2"/>
        <v>-0.2225206027528322</v>
      </c>
      <c r="O23" s="62">
        <f t="shared" si="2"/>
        <v>1.6616458701219725</v>
      </c>
      <c r="P23" s="62">
        <f t="shared" si="2"/>
        <v>0.57444175745801129</v>
      </c>
      <c r="Q23" s="62">
        <f t="shared" si="2"/>
        <v>-7.5633614985286896E-2</v>
      </c>
      <c r="R23" s="62" t="e">
        <f>+#REF!/#REF!*100</f>
        <v>#REF!</v>
      </c>
      <c r="S23" s="62" t="e">
        <f>+#REF!/#REF!*100</f>
        <v>#REF!</v>
      </c>
    </row>
    <row r="24" spans="1:19" ht="19.5" customHeight="1">
      <c r="A24" s="56">
        <v>17</v>
      </c>
      <c r="B24" s="59" t="s">
        <v>32</v>
      </c>
      <c r="C24" s="452">
        <v>-2224</v>
      </c>
      <c r="D24" s="452">
        <v>2083</v>
      </c>
      <c r="E24" s="452">
        <v>4264</v>
      </c>
      <c r="F24" s="452">
        <v>2746</v>
      </c>
      <c r="G24" s="452">
        <v>2661</v>
      </c>
      <c r="H24" s="63">
        <f ca="1">+'Aggregate As% of GSDP'!I24</f>
        <v>151593</v>
      </c>
      <c r="I24" s="63">
        <f ca="1">+'Aggregate As% of GSDP'!J24</f>
        <v>182481</v>
      </c>
      <c r="J24" s="63">
        <f ca="1">+'Aggregate As% of GSDP'!K24</f>
        <v>223567</v>
      </c>
      <c r="K24" s="63">
        <f ca="1">+'Aggregate As% of GSDP'!L24</f>
        <v>263975</v>
      </c>
      <c r="L24" s="63">
        <f ca="1">+'Aggregate As% of GSDP'!M24</f>
        <v>308943</v>
      </c>
      <c r="M24" s="62">
        <f t="shared" si="2"/>
        <v>-1.4670862111047345</v>
      </c>
      <c r="N24" s="62">
        <f t="shared" si="2"/>
        <v>1.1414887029334562</v>
      </c>
      <c r="O24" s="62">
        <f t="shared" si="2"/>
        <v>1.907258226840276</v>
      </c>
      <c r="P24" s="62">
        <f t="shared" si="2"/>
        <v>1.0402500236764847</v>
      </c>
      <c r="Q24" s="62">
        <f t="shared" si="2"/>
        <v>0.86132393354113856</v>
      </c>
      <c r="R24" s="62" t="e">
        <f>+#REF!/#REF!*100</f>
        <v>#REF!</v>
      </c>
      <c r="S24" s="62" t="e">
        <f>+#REF!/#REF!*100</f>
        <v>#REF!</v>
      </c>
    </row>
    <row r="25" spans="1:19" ht="19.5" customHeight="1">
      <c r="A25" s="56">
        <v>18</v>
      </c>
      <c r="B25" s="59" t="s">
        <v>33</v>
      </c>
      <c r="C25" s="452">
        <v>-1194.58</v>
      </c>
      <c r="D25" s="452">
        <v>-335.98</v>
      </c>
      <c r="E25" s="452">
        <v>9.7799999999999994</v>
      </c>
      <c r="F25" s="452">
        <v>-836.39</v>
      </c>
      <c r="G25" s="452">
        <v>-5379.11</v>
      </c>
      <c r="H25" s="63">
        <f ca="1">+'Aggregate As% of GSDP'!I25</f>
        <v>83950</v>
      </c>
      <c r="I25" s="63">
        <f ca="1">+'Aggregate As% of GSDP'!J25</f>
        <v>87794</v>
      </c>
      <c r="J25" s="63">
        <f ca="1">+'Aggregate As% of GSDP'!K25</f>
        <v>100621</v>
      </c>
      <c r="K25" s="63">
        <f ca="1">+'Aggregate As% of GSDP'!L25</f>
        <v>115535</v>
      </c>
      <c r="L25" s="63">
        <f ca="1">+'Aggregate As% of GSDP'!M25</f>
        <v>130505</v>
      </c>
      <c r="M25" s="62">
        <f t="shared" si="2"/>
        <v>-1.4229660512209648</v>
      </c>
      <c r="N25" s="62">
        <f t="shared" si="2"/>
        <v>-0.38269130008884439</v>
      </c>
      <c r="O25" s="62">
        <f t="shared" si="2"/>
        <v>9.719641029208614E-3</v>
      </c>
      <c r="P25" s="62">
        <f t="shared" si="2"/>
        <v>-0.72392781408231277</v>
      </c>
      <c r="Q25" s="62">
        <f t="shared" si="2"/>
        <v>-4.1217654495996321</v>
      </c>
      <c r="R25" s="62" t="e">
        <f>+#REF!/#REF!*100</f>
        <v>#REF!</v>
      </c>
      <c r="S25" s="62" t="e">
        <f>+#REF!/#REF!*100</f>
        <v>#REF!</v>
      </c>
    </row>
    <row r="26" spans="1:19" ht="19.5" customHeight="1">
      <c r="A26" s="56">
        <v>19</v>
      </c>
      <c r="B26" s="59" t="s">
        <v>34</v>
      </c>
      <c r="C26" s="452">
        <v>-3776</v>
      </c>
      <c r="D26" s="452">
        <v>-1631</v>
      </c>
      <c r="E26" s="452">
        <v>-1619</v>
      </c>
      <c r="F26" s="452">
        <v>-4172</v>
      </c>
      <c r="G26" s="452">
        <v>-1279</v>
      </c>
      <c r="H26" s="63">
        <f ca="1">+'Aggregate As% of GSDP'!I26</f>
        <v>270629</v>
      </c>
      <c r="I26" s="63">
        <f ca="1">+'Aggregate As% of GSDP'!J26</f>
        <v>310312</v>
      </c>
      <c r="J26" s="63">
        <f ca="1">+'Aggregate As% of GSDP'!K26</f>
        <v>337516</v>
      </c>
      <c r="K26" s="63">
        <f ca="1">+'Aggregate As% of GSDP'!L26</f>
        <v>399347</v>
      </c>
      <c r="L26" s="63">
        <f ca="1">+'Aggregate As% of GSDP'!M26</f>
        <v>458903</v>
      </c>
      <c r="M26" s="62">
        <f t="shared" si="2"/>
        <v>-1.395268060703029</v>
      </c>
      <c r="N26" s="62">
        <f t="shared" si="2"/>
        <v>-0.52560004124880766</v>
      </c>
      <c r="O26" s="62">
        <f t="shared" si="2"/>
        <v>-0.47968096327285226</v>
      </c>
      <c r="P26" s="62">
        <f t="shared" si="2"/>
        <v>-1.0447054816988735</v>
      </c>
      <c r="Q26" s="62">
        <f t="shared" si="2"/>
        <v>-0.27870813657788246</v>
      </c>
      <c r="R26" s="62" t="e">
        <f>+#REF!/#REF!*100</f>
        <v>#REF!</v>
      </c>
      <c r="S26" s="62" t="e">
        <f>+#REF!/#REF!*100</f>
        <v>#REF!</v>
      </c>
    </row>
    <row r="27" spans="1:19" ht="19.5" customHeight="1">
      <c r="A27" s="56">
        <v>20</v>
      </c>
      <c r="B27" s="59" t="s">
        <v>35</v>
      </c>
      <c r="C27" s="452">
        <v>3784.84</v>
      </c>
      <c r="D27" s="452">
        <v>3711.68</v>
      </c>
      <c r="E27" s="452">
        <v>5022.97</v>
      </c>
      <c r="F27" s="452">
        <f>30990.44-4195.74-30469.07</f>
        <v>-3674.3700000000026</v>
      </c>
      <c r="G27" s="452">
        <v>6787.39</v>
      </c>
      <c r="H27" s="63">
        <f ca="1">+'Aggregate As% of GSDP'!I27</f>
        <v>175141</v>
      </c>
      <c r="I27" s="63">
        <f ca="1">+'Aggregate As% of GSDP'!J27</f>
        <v>202783</v>
      </c>
      <c r="J27" s="63">
        <f ca="1">+'Aggregate As% of GSDP'!K27</f>
        <v>232381</v>
      </c>
      <c r="K27" s="63">
        <f ca="1">+'Aggregate As% of GSDP'!L27</f>
        <v>276997</v>
      </c>
      <c r="L27" s="63">
        <f ca="1">+'Aggregate As% of GSDP'!M27</f>
        <v>326693</v>
      </c>
      <c r="M27" s="62">
        <f t="shared" si="2"/>
        <v>2.1610245459372734</v>
      </c>
      <c r="N27" s="62">
        <f t="shared" si="2"/>
        <v>1.830370395940488</v>
      </c>
      <c r="O27" s="62">
        <f t="shared" si="2"/>
        <v>2.161523532474686</v>
      </c>
      <c r="P27" s="62">
        <f t="shared" si="2"/>
        <v>-1.3265017310656804</v>
      </c>
      <c r="Q27" s="62">
        <f t="shared" si="2"/>
        <v>2.0776049685790636</v>
      </c>
      <c r="R27" s="62" t="e">
        <f>+#REF!/#REF!*100</f>
        <v>#REF!</v>
      </c>
      <c r="S27" s="62" t="e">
        <f>+#REF!/#REF!*100</f>
        <v>#REF!</v>
      </c>
    </row>
    <row r="28" spans="1:19" ht="19.5" customHeight="1">
      <c r="A28" s="56">
        <v>21</v>
      </c>
      <c r="B28" s="59" t="s">
        <v>36</v>
      </c>
      <c r="C28" s="452">
        <v>-5087.62</v>
      </c>
      <c r="D28" s="452">
        <v>-4063.33</v>
      </c>
      <c r="E28" s="452">
        <v>-5497.8</v>
      </c>
      <c r="F28" s="452">
        <v>-6842.59</v>
      </c>
      <c r="G28" s="452">
        <v>-3866.49</v>
      </c>
      <c r="H28" s="63">
        <f ca="1">+'Aggregate As% of GSDP'!I28</f>
        <v>161479</v>
      </c>
      <c r="I28" s="63">
        <f ca="1">+'Aggregate As% of GSDP'!J28</f>
        <v>197276</v>
      </c>
      <c r="J28" s="63">
        <f ca="1">+'Aggregate As% of GSDP'!K28</f>
        <v>227984</v>
      </c>
      <c r="K28" s="63">
        <f ca="1">+'Aggregate As% of GSDP'!L28</f>
        <v>260403</v>
      </c>
      <c r="L28" s="63">
        <f ca="1">+'Aggregate As% of GSDP'!M28</f>
        <v>315387</v>
      </c>
      <c r="M28" s="62">
        <f t="shared" si="2"/>
        <v>-3.1506387827519369</v>
      </c>
      <c r="N28" s="62">
        <f t="shared" si="2"/>
        <v>-2.0597183641193046</v>
      </c>
      <c r="O28" s="62">
        <f t="shared" si="2"/>
        <v>-2.4114850164923856</v>
      </c>
      <c r="P28" s="62">
        <f t="shared" si="2"/>
        <v>-2.6276924613003692</v>
      </c>
      <c r="Q28" s="62">
        <f t="shared" si="2"/>
        <v>-1.2259509745170218</v>
      </c>
      <c r="R28" s="62" t="e">
        <f>+#REF!/#REF!*100</f>
        <v>#REF!</v>
      </c>
      <c r="S28" s="62" t="e">
        <f>+#REF!/#REF!*100</f>
        <v>#REF!</v>
      </c>
    </row>
    <row r="29" spans="1:19" s="64" customFormat="1" ht="19.5" customHeight="1">
      <c r="A29" s="60">
        <v>22</v>
      </c>
      <c r="B29" s="61" t="s">
        <v>37</v>
      </c>
      <c r="C29" s="452">
        <v>-14803.11</v>
      </c>
      <c r="D29" s="452">
        <v>-5576.19</v>
      </c>
      <c r="E29" s="452">
        <v>8005.69</v>
      </c>
      <c r="F29" s="452">
        <v>591.45000000000005</v>
      </c>
      <c r="G29" s="452">
        <v>-58.19</v>
      </c>
      <c r="H29" s="63">
        <f ca="1">+'Aggregate As% of GSDP'!I29</f>
        <v>679004</v>
      </c>
      <c r="I29" s="63">
        <f ca="1">+'Aggregate As% of GSDP'!J29</f>
        <v>756334</v>
      </c>
      <c r="J29" s="63">
        <f ca="1">+'Aggregate As% of GSDP'!K29</f>
        <v>901330</v>
      </c>
      <c r="K29" s="63">
        <f ca="1">+'Aggregate As% of GSDP'!L29</f>
        <v>1029621</v>
      </c>
      <c r="L29" s="63">
        <f ca="1">+'Aggregate As% of GSDP'!M29</f>
        <v>1180302</v>
      </c>
      <c r="M29" s="62">
        <f t="shared" si="2"/>
        <v>-2.1801211774893816</v>
      </c>
      <c r="N29" s="62">
        <f t="shared" si="2"/>
        <v>-0.73726554670291167</v>
      </c>
      <c r="O29" s="62">
        <f t="shared" si="2"/>
        <v>0.88820853627417251</v>
      </c>
      <c r="P29" s="62">
        <f t="shared" si="2"/>
        <v>5.7443467062151997E-2</v>
      </c>
      <c r="Q29" s="62">
        <f t="shared" si="2"/>
        <v>-4.9300941623415025E-3</v>
      </c>
      <c r="R29" s="62" t="e">
        <f>+#REF!/#REF!*100</f>
        <v>#REF!</v>
      </c>
      <c r="S29" s="62" t="e">
        <f>+#REF!/#REF!*100</f>
        <v>#REF!</v>
      </c>
    </row>
    <row r="30" spans="1:19" s="64" customFormat="1" ht="19.5" customHeight="1">
      <c r="A30" s="60">
        <v>23</v>
      </c>
      <c r="B30" s="61" t="s">
        <v>104</v>
      </c>
      <c r="C30" s="452">
        <v>-4243.92</v>
      </c>
      <c r="D30" s="452">
        <v>-3419.89</v>
      </c>
      <c r="E30" s="452">
        <v>-1138.6300000000001</v>
      </c>
      <c r="F30" s="452">
        <v>-3908.21</v>
      </c>
      <c r="G30" s="452">
        <v>-60.14</v>
      </c>
      <c r="H30" s="63">
        <f ca="1">+'Aggregate As% of GSDP'!I30</f>
        <v>129274</v>
      </c>
      <c r="I30" s="63">
        <f ca="1">+'Aggregate As% of GSDP'!J30</f>
        <v>148491</v>
      </c>
      <c r="J30" s="63">
        <f ca="1">+'Aggregate As% of GSDP'!K30</f>
        <v>163727</v>
      </c>
      <c r="K30" s="63">
        <f ca="1">+'Aggregate As% of GSDP'!L30</f>
        <v>195028</v>
      </c>
      <c r="L30" s="63">
        <f ca="1">+'Aggregate As% of GSDP'!M30</f>
        <v>226236</v>
      </c>
      <c r="M30" s="62">
        <f t="shared" si="2"/>
        <v>-3.2828875102495476</v>
      </c>
      <c r="N30" s="62">
        <f t="shared" si="2"/>
        <v>-2.3030958105205031</v>
      </c>
      <c r="O30" s="62">
        <f t="shared" si="2"/>
        <v>-0.69544424560396279</v>
      </c>
      <c r="P30" s="62">
        <f t="shared" si="2"/>
        <v>-2.003922513690342</v>
      </c>
      <c r="Q30" s="62">
        <f t="shared" si="2"/>
        <v>-2.6582860375890666E-2</v>
      </c>
      <c r="R30" s="62" t="e">
        <f>+#REF!/#REF!*100</f>
        <v>#REF!</v>
      </c>
      <c r="S30" s="62" t="e">
        <f>+#REF!/#REF!*100</f>
        <v>#REF!</v>
      </c>
    </row>
    <row r="31" spans="1:19" s="64" customFormat="1" ht="19.5" customHeight="1">
      <c r="A31" s="60">
        <v>24</v>
      </c>
      <c r="B31" s="61" t="s">
        <v>39</v>
      </c>
      <c r="C31" s="452">
        <v>3823.24</v>
      </c>
      <c r="D31" s="452">
        <v>3856.2</v>
      </c>
      <c r="E31" s="452">
        <v>5251.36</v>
      </c>
      <c r="F31" s="452">
        <v>5288.71</v>
      </c>
      <c r="G31" s="452">
        <v>3378.99</v>
      </c>
      <c r="H31" s="63">
        <f ca="1">+'Aggregate As% of GSDP'!I31</f>
        <v>152245</v>
      </c>
      <c r="I31" s="63">
        <f ca="1">+'Aggregate As% of GSDP'!J31</f>
        <v>174039</v>
      </c>
      <c r="J31" s="63">
        <f ca="1">+'Aggregate As% of GSDP'!K31</f>
        <v>198393</v>
      </c>
      <c r="K31" s="63">
        <f ca="1">+'Aggregate As% of GSDP'!L31</f>
        <v>224975</v>
      </c>
      <c r="L31" s="63">
        <f ca="1">+'Aggregate As% of GSDP'!M31</f>
        <v>248301</v>
      </c>
      <c r="M31" s="62">
        <f t="shared" si="2"/>
        <v>2.5112417484974876</v>
      </c>
      <c r="N31" s="62">
        <f t="shared" si="2"/>
        <v>2.215710271835623</v>
      </c>
      <c r="O31" s="62">
        <f t="shared" si="2"/>
        <v>2.6469482290201767</v>
      </c>
      <c r="P31" s="62">
        <f t="shared" si="2"/>
        <v>2.3507989776641849</v>
      </c>
      <c r="Q31" s="62">
        <f t="shared" si="2"/>
        <v>1.3608442978481761</v>
      </c>
      <c r="R31" s="62" t="e">
        <f>+#REF!/#REF!*100</f>
        <v>#REF!</v>
      </c>
      <c r="S31" s="62" t="e">
        <f>+#REF!/#REF!*100</f>
        <v>#REF!</v>
      </c>
    </row>
    <row r="32" spans="1:19" s="64" customFormat="1" ht="19.5" customHeight="1">
      <c r="A32" s="60">
        <v>25</v>
      </c>
      <c r="B32" s="61" t="s">
        <v>40</v>
      </c>
      <c r="C32" s="452">
        <v>-1652.97</v>
      </c>
      <c r="D32" s="452">
        <v>826.75</v>
      </c>
      <c r="E32" s="452">
        <v>4747.18</v>
      </c>
      <c r="F32" s="452">
        <v>-1054.8499999999999</v>
      </c>
      <c r="G32" s="452">
        <v>-352.62</v>
      </c>
      <c r="H32" s="63">
        <f ca="1">+'Aggregate As% of GSDP'!I32</f>
        <v>194822</v>
      </c>
      <c r="I32" s="63">
        <f ca="1">+'Aggregate As% of GSDP'!J32</f>
        <v>230949</v>
      </c>
      <c r="J32" s="63">
        <f ca="1">+'Aggregate As% of GSDP'!K32</f>
        <v>263258</v>
      </c>
      <c r="K32" s="63">
        <f ca="1">+'Aggregate As% of GSDP'!L32</f>
        <v>323682</v>
      </c>
      <c r="L32" s="63">
        <f ca="1">+'Aggregate As% of GSDP'!M32</f>
        <v>368320</v>
      </c>
      <c r="M32" s="62">
        <f t="shared" si="2"/>
        <v>-0.84845140692529597</v>
      </c>
      <c r="N32" s="62">
        <f t="shared" si="2"/>
        <v>0.35797946732828462</v>
      </c>
      <c r="O32" s="62">
        <f t="shared" si="2"/>
        <v>1.8032424465733234</v>
      </c>
      <c r="P32" s="62">
        <f t="shared" si="2"/>
        <v>-0.32589084348218311</v>
      </c>
      <c r="Q32" s="62">
        <f t="shared" si="2"/>
        <v>-9.5737402258905299E-2</v>
      </c>
      <c r="R32" s="62" t="e">
        <f>+#REF!/#REF!*100</f>
        <v>#REF!</v>
      </c>
      <c r="S32" s="62" t="e">
        <f>+#REF!/#REF!*100</f>
        <v>#REF!</v>
      </c>
    </row>
    <row r="33" spans="1:19" s="64" customFormat="1" ht="19.5" customHeight="1">
      <c r="A33" s="60">
        <v>26</v>
      </c>
      <c r="B33" s="61" t="s">
        <v>41</v>
      </c>
      <c r="C33" s="452">
        <v>-4545</v>
      </c>
      <c r="D33" s="452">
        <v>-1452.25</v>
      </c>
      <c r="E33" s="452">
        <v>3531.22</v>
      </c>
      <c r="F33" s="452">
        <v>2728.69</v>
      </c>
      <c r="G33" s="452">
        <v>-173.86</v>
      </c>
      <c r="H33" s="63">
        <f ca="1">+'Aggregate As% of GSDP'!I33</f>
        <v>350819</v>
      </c>
      <c r="I33" s="63">
        <f ca="1">+'Aggregate As% of GSDP'!J33</f>
        <v>401336</v>
      </c>
      <c r="J33" s="63">
        <f ca="1">+'Aggregate As% of GSDP'!K33</f>
        <v>479720</v>
      </c>
      <c r="K33" s="63">
        <f ca="1">+'Aggregate As% of GSDP'!L33</f>
        <v>566422</v>
      </c>
      <c r="L33" s="63">
        <f ca="1">+'Aggregate As% of GSDP'!M33</f>
        <v>639025</v>
      </c>
      <c r="M33" s="62">
        <f t="shared" si="2"/>
        <v>-1.2955398652866579</v>
      </c>
      <c r="N33" s="62">
        <f t="shared" si="2"/>
        <v>-0.36185390794745548</v>
      </c>
      <c r="O33" s="62">
        <f t="shared" si="2"/>
        <v>0.73610022513132656</v>
      </c>
      <c r="P33" s="62">
        <f t="shared" si="2"/>
        <v>0.48174152840108608</v>
      </c>
      <c r="Q33" s="62">
        <f t="shared" si="2"/>
        <v>-2.7207073275693442E-2</v>
      </c>
      <c r="R33" s="62" t="e">
        <f>+#REF!/#REF!*100</f>
        <v>#REF!</v>
      </c>
      <c r="S33" s="62" t="e">
        <f>+#REF!/#REF!*100</f>
        <v>#REF!</v>
      </c>
    </row>
    <row r="34" spans="1:19" s="64" customFormat="1" ht="19.5" customHeight="1">
      <c r="A34" s="60">
        <v>27</v>
      </c>
      <c r="B34" s="61" t="s">
        <v>42</v>
      </c>
      <c r="C34" s="452">
        <v>-3449</v>
      </c>
      <c r="D34" s="452">
        <v>-1861.84</v>
      </c>
      <c r="E34" s="452">
        <v>-7047.3</v>
      </c>
      <c r="F34" s="452">
        <v>-3508.15</v>
      </c>
      <c r="G34" s="452">
        <v>-7976.55</v>
      </c>
      <c r="H34" s="63">
        <f ca="1">+'Aggregate As% of GSDP'!I34</f>
        <v>383026</v>
      </c>
      <c r="I34" s="63">
        <f ca="1">+'Aggregate As% of GSDP'!J34</f>
        <v>444685</v>
      </c>
      <c r="J34" s="63">
        <f ca="1">+'Aggregate As% of GSDP'!K34</f>
        <v>523193</v>
      </c>
      <c r="K34" s="63">
        <f ca="1">+'Aggregate As% of GSDP'!L34</f>
        <v>605219</v>
      </c>
      <c r="L34" s="63">
        <f ca="1">+'Aggregate As% of GSDP'!M34</f>
        <v>687836</v>
      </c>
      <c r="M34" s="62">
        <f t="shared" si="2"/>
        <v>-0.90046106530627168</v>
      </c>
      <c r="N34" s="62">
        <f t="shared" si="2"/>
        <v>-0.41868738545262379</v>
      </c>
      <c r="O34" s="62">
        <f t="shared" si="2"/>
        <v>-1.34697903068275</v>
      </c>
      <c r="P34" s="62">
        <f t="shared" si="2"/>
        <v>-0.57964968052886645</v>
      </c>
      <c r="Q34" s="62">
        <f t="shared" si="2"/>
        <v>-1.1596586977128269</v>
      </c>
      <c r="R34" s="62" t="e">
        <f>+#REF!/#REF!*100</f>
        <v>#REF!</v>
      </c>
      <c r="S34" s="62" t="e">
        <f>+#REF!/#REF!*100</f>
        <v>#REF!</v>
      </c>
    </row>
    <row r="35" spans="1:19" s="64" customFormat="1" ht="19.5" customHeight="1">
      <c r="A35" s="60">
        <v>28</v>
      </c>
      <c r="B35" s="61" t="s">
        <v>43</v>
      </c>
      <c r="C35" s="452">
        <v>8147.04</v>
      </c>
      <c r="D35" s="452">
        <v>14708.92</v>
      </c>
      <c r="E35" s="452">
        <v>21578.23</v>
      </c>
      <c r="F35" s="452">
        <v>17273.96</v>
      </c>
      <c r="G35" s="452">
        <v>8290.83</v>
      </c>
      <c r="H35" s="63">
        <f ca="1">+'Aggregate As% of GSDP'!I35</f>
        <v>299483</v>
      </c>
      <c r="I35" s="63">
        <f ca="1">+'Aggregate As% of GSDP'!J35</f>
        <v>341942</v>
      </c>
      <c r="J35" s="63">
        <f ca="1">+'Aggregate As% of GSDP'!K35</f>
        <v>398933</v>
      </c>
      <c r="K35" s="63">
        <f ca="1">+'Aggregate As% of GSDP'!L35</f>
        <v>467421</v>
      </c>
      <c r="L35" s="63">
        <f ca="1">+'Aggregate As% of GSDP'!M35</f>
        <v>541586</v>
      </c>
      <c r="M35" s="62">
        <f t="shared" si="2"/>
        <v>2.7203681010274372</v>
      </c>
      <c r="N35" s="62">
        <f t="shared" si="2"/>
        <v>4.301583309450141</v>
      </c>
      <c r="O35" s="62">
        <f t="shared" si="2"/>
        <v>5.4089859700751752</v>
      </c>
      <c r="P35" s="62">
        <f t="shared" si="2"/>
        <v>3.695589201169823</v>
      </c>
      <c r="Q35" s="62">
        <f t="shared" si="2"/>
        <v>1.5308427470429442</v>
      </c>
      <c r="R35" s="62" t="e">
        <f>+#REF!/#REF!*100</f>
        <v>#REF!</v>
      </c>
      <c r="S35" s="62" t="e">
        <f>+#REF!/#REF!*100</f>
        <v>#REF!</v>
      </c>
    </row>
    <row r="36" spans="1:19" s="67" customFormat="1" ht="19.5" customHeight="1">
      <c r="A36" s="55"/>
      <c r="B36" s="58" t="s">
        <v>44</v>
      </c>
      <c r="C36" s="453">
        <f t="shared" ref="C36:L36" si="3">SUM(C19:C35)</f>
        <v>-35961.699999999997</v>
      </c>
      <c r="D36" s="453">
        <f t="shared" si="3"/>
        <v>-1417.8699999999972</v>
      </c>
      <c r="E36" s="453">
        <f t="shared" si="3"/>
        <v>39278.080000000002</v>
      </c>
      <c r="F36" s="453">
        <f t="shared" si="3"/>
        <v>-4836.5400000000045</v>
      </c>
      <c r="G36" s="453">
        <f>SUM(G19:G35)</f>
        <v>-11991.220000000003</v>
      </c>
      <c r="H36" s="66">
        <f t="shared" si="3"/>
        <v>3939063</v>
      </c>
      <c r="I36" s="66">
        <f t="shared" si="3"/>
        <v>4537764</v>
      </c>
      <c r="J36" s="66">
        <f t="shared" si="3"/>
        <v>5260777</v>
      </c>
      <c r="K36" s="66">
        <f t="shared" si="3"/>
        <v>6182747</v>
      </c>
      <c r="L36" s="66">
        <f t="shared" si="3"/>
        <v>7126825.1524999999</v>
      </c>
      <c r="M36" s="65">
        <f t="shared" si="2"/>
        <v>-0.91295061795152799</v>
      </c>
      <c r="N36" s="65">
        <f t="shared" si="2"/>
        <v>-3.1246005742035003E-2</v>
      </c>
      <c r="O36" s="65">
        <f>+E36/J36*100</f>
        <v>0.74662126906348625</v>
      </c>
      <c r="P36" s="65">
        <f>+F36/K36*100</f>
        <v>-7.8226393543193731E-2</v>
      </c>
      <c r="Q36" s="65">
        <f>+G36/L36*100</f>
        <v>-0.16825472413608511</v>
      </c>
      <c r="R36" s="65" t="e">
        <f>+#REF!/#REF!*100</f>
        <v>#REF!</v>
      </c>
      <c r="S36" s="65" t="e">
        <f>+#REF!/#REF!*100</f>
        <v>#REF!</v>
      </c>
    </row>
    <row r="37" spans="1:19" s="64" customFormat="1" ht="19.5" customHeight="1">
      <c r="A37" s="60"/>
      <c r="B37" s="58" t="s">
        <v>45</v>
      </c>
      <c r="C37" s="453"/>
      <c r="D37" s="453"/>
      <c r="E37" s="453"/>
      <c r="F37" s="453"/>
      <c r="G37" s="453"/>
      <c r="H37" s="66"/>
      <c r="I37" s="66"/>
      <c r="J37" s="66"/>
      <c r="K37" s="66"/>
      <c r="L37" s="66"/>
      <c r="M37" s="62"/>
      <c r="N37" s="62"/>
      <c r="O37" s="62"/>
      <c r="P37" s="62"/>
      <c r="Q37" s="62"/>
      <c r="R37" s="62"/>
      <c r="S37" s="62"/>
    </row>
    <row r="38" spans="1:19" s="64" customFormat="1" ht="19.5" customHeight="1">
      <c r="A38" s="60">
        <v>29</v>
      </c>
      <c r="B38" s="61" t="s">
        <v>46</v>
      </c>
      <c r="C38" s="452">
        <v>-5141.87</v>
      </c>
      <c r="D38" s="452">
        <v>-4589.6499999999996</v>
      </c>
      <c r="E38" s="452">
        <v>-6550.45</v>
      </c>
      <c r="F38" s="452">
        <v>-10642.37</v>
      </c>
      <c r="G38" s="452">
        <v>-4080.19</v>
      </c>
      <c r="H38" s="63">
        <f ca="1">+'Aggregate As% of GSDP'!I39</f>
        <v>157947</v>
      </c>
      <c r="I38" s="63">
        <f ca="1">+'Aggregate As% of GSDP'!J39</f>
        <v>189533</v>
      </c>
      <c r="J38" s="63">
        <f ca="1">+'Aggregate As% of GSDP'!K39</f>
        <v>223759</v>
      </c>
      <c r="K38" s="63">
        <f ca="1">+'Aggregate As% of GSDP'!L39</f>
        <v>264496</v>
      </c>
      <c r="L38" s="63">
        <f ca="1">+'Aggregate As% of GSDP'!M39</f>
        <v>313934</v>
      </c>
      <c r="M38" s="62">
        <f t="shared" ref="M38:Q40" si="4">+C38/H38*100</f>
        <v>-3.2554401159882742</v>
      </c>
      <c r="N38" s="62">
        <f t="shared" si="4"/>
        <v>-2.4215571958445228</v>
      </c>
      <c r="O38" s="62">
        <f t="shared" si="4"/>
        <v>-2.9274576665072689</v>
      </c>
      <c r="P38" s="62">
        <f t="shared" si="4"/>
        <v>-4.0236411892807453</v>
      </c>
      <c r="Q38" s="62">
        <f t="shared" si="4"/>
        <v>-1.2996967515465034</v>
      </c>
      <c r="R38" s="62"/>
      <c r="S38" s="62" t="e">
        <f>+#REF!/#REF!*100</f>
        <v>#REF!</v>
      </c>
    </row>
    <row r="39" spans="1:19" s="64" customFormat="1" ht="19.5" customHeight="1">
      <c r="A39" s="60">
        <v>30</v>
      </c>
      <c r="B39" s="61" t="s">
        <v>47</v>
      </c>
      <c r="C39" s="452">
        <v>96</v>
      </c>
      <c r="D39" s="452">
        <v>142</v>
      </c>
      <c r="E39" s="452">
        <v>242</v>
      </c>
      <c r="F39" s="452">
        <v>352</v>
      </c>
      <c r="G39" s="452">
        <v>94</v>
      </c>
      <c r="H39" s="63">
        <f ca="1">+'Aggregate As% of GSDP'!I40</f>
        <v>9251</v>
      </c>
      <c r="I39" s="63">
        <f ca="1">+'Aggregate As% of GSDP'!J40</f>
        <v>10050</v>
      </c>
      <c r="J39" s="63">
        <f ca="1">+'Aggregate As% of GSDP'!K40</f>
        <v>11344</v>
      </c>
      <c r="K39" s="63">
        <f ca="1">+'Aggregate As% of GSDP'!L40</f>
        <v>12929</v>
      </c>
      <c r="L39" s="63">
        <f ca="1">+'Aggregate As% of GSDP'!M40</f>
        <v>13724</v>
      </c>
      <c r="M39" s="62">
        <f t="shared" si="4"/>
        <v>1.0377256512809427</v>
      </c>
      <c r="N39" s="62">
        <f t="shared" si="4"/>
        <v>1.4129353233830846</v>
      </c>
      <c r="O39" s="62">
        <f t="shared" si="4"/>
        <v>2.1332863187588154</v>
      </c>
      <c r="P39" s="62">
        <f t="shared" si="4"/>
        <v>2.7225616830381312</v>
      </c>
      <c r="Q39" s="62">
        <f t="shared" si="4"/>
        <v>0.68493150684931503</v>
      </c>
      <c r="R39" s="62"/>
      <c r="S39" s="62" t="e">
        <f>+#REF!/#REF!*100</f>
        <v>#REF!</v>
      </c>
    </row>
    <row r="40" spans="1:19" s="67" customFormat="1" ht="19.5" customHeight="1">
      <c r="A40" s="55"/>
      <c r="B40" s="58" t="s">
        <v>67</v>
      </c>
      <c r="C40" s="453">
        <f t="shared" ref="C40:K40" si="5">SUM(C38:C39)</f>
        <v>-5045.87</v>
      </c>
      <c r="D40" s="453">
        <f t="shared" si="5"/>
        <v>-4447.6499999999996</v>
      </c>
      <c r="E40" s="453">
        <f t="shared" si="5"/>
        <v>-6308.45</v>
      </c>
      <c r="F40" s="453">
        <f t="shared" si="5"/>
        <v>-10290.370000000001</v>
      </c>
      <c r="G40" s="453">
        <f>SUM(G38:G39)</f>
        <v>-3986.19</v>
      </c>
      <c r="H40" s="66">
        <f t="shared" si="5"/>
        <v>167198</v>
      </c>
      <c r="I40" s="66">
        <f t="shared" si="5"/>
        <v>199583</v>
      </c>
      <c r="J40" s="66">
        <f t="shared" si="5"/>
        <v>235103</v>
      </c>
      <c r="K40" s="66">
        <f t="shared" si="5"/>
        <v>277425</v>
      </c>
      <c r="L40" s="66">
        <f>SUM(L38:L39)</f>
        <v>327658</v>
      </c>
      <c r="M40" s="65">
        <f t="shared" si="4"/>
        <v>-3.0179009318293279</v>
      </c>
      <c r="N40" s="65">
        <f t="shared" si="4"/>
        <v>-2.2284713627914199</v>
      </c>
      <c r="O40" s="65">
        <f t="shared" si="4"/>
        <v>-2.6832707366558486</v>
      </c>
      <c r="P40" s="65">
        <f t="shared" si="4"/>
        <v>-3.7092439398035504</v>
      </c>
      <c r="Q40" s="65">
        <f t="shared" si="4"/>
        <v>-1.216570326376893</v>
      </c>
      <c r="R40" s="65" t="e">
        <f>+#REF!/#REF!*100</f>
        <v>#REF!</v>
      </c>
      <c r="S40" s="65" t="e">
        <f>+#REF!/#REF!*100</f>
        <v>#REF!</v>
      </c>
    </row>
    <row r="41" spans="1:19" s="64" customFormat="1" ht="7.5" customHeight="1">
      <c r="A41" s="60"/>
      <c r="B41" s="61"/>
      <c r="C41" s="452"/>
      <c r="D41" s="452"/>
      <c r="E41" s="452"/>
      <c r="F41" s="452"/>
      <c r="G41" s="452"/>
      <c r="H41" s="69"/>
      <c r="I41" s="69"/>
      <c r="J41" s="69"/>
      <c r="K41" s="69"/>
      <c r="L41" s="69"/>
      <c r="M41" s="62"/>
      <c r="N41" s="62"/>
      <c r="O41" s="62"/>
      <c r="P41" s="62"/>
      <c r="Q41" s="62"/>
      <c r="R41" s="62"/>
      <c r="S41" s="62"/>
    </row>
    <row r="42" spans="1:19" s="67" customFormat="1" ht="12.75">
      <c r="A42" s="55"/>
      <c r="B42" s="58" t="s">
        <v>49</v>
      </c>
      <c r="C42" s="453">
        <f t="shared" ref="C42:K42" si="6">+C17+C36+C40</f>
        <v>-50480.07</v>
      </c>
      <c r="D42" s="453">
        <f t="shared" si="6"/>
        <v>-16464.569999999992</v>
      </c>
      <c r="E42" s="453">
        <f t="shared" si="6"/>
        <v>28280.329999999998</v>
      </c>
      <c r="F42" s="453">
        <f t="shared" si="6"/>
        <v>-20517.280000000006</v>
      </c>
      <c r="G42" s="453">
        <f>+G17+G36+G40</f>
        <v>-30053.69</v>
      </c>
      <c r="H42" s="66">
        <f t="shared" si="6"/>
        <v>4341777</v>
      </c>
      <c r="I42" s="66">
        <f t="shared" si="6"/>
        <v>5013762</v>
      </c>
      <c r="J42" s="66">
        <f t="shared" si="6"/>
        <v>5821399</v>
      </c>
      <c r="K42" s="66">
        <f t="shared" si="6"/>
        <v>6831509</v>
      </c>
      <c r="L42" s="66">
        <f>+L17+L36+L40</f>
        <v>7874383.9814999998</v>
      </c>
      <c r="M42" s="65">
        <f>+C42/H42*100</f>
        <v>-1.1626592061268921</v>
      </c>
      <c r="N42" s="65">
        <f>+D42/I42*100</f>
        <v>-0.32838754611806448</v>
      </c>
      <c r="O42" s="65">
        <f>+E42/J42*100</f>
        <v>0.48579954749708787</v>
      </c>
      <c r="P42" s="65">
        <f>+F42/K42*100</f>
        <v>-0.30033305965051066</v>
      </c>
      <c r="Q42" s="65">
        <f>+G42/L42*100</f>
        <v>-0.3816640142341019</v>
      </c>
      <c r="R42" s="65" t="e">
        <f>+#REF!/#REF!*100</f>
        <v>#REF!</v>
      </c>
      <c r="S42" s="65" t="e">
        <f>+#REF!/#REF!*100</f>
        <v>#REF!</v>
      </c>
    </row>
    <row r="43" spans="1:19" s="14" customFormat="1" ht="12.75">
      <c r="A43" s="22"/>
      <c r="B43" s="23" t="s">
        <v>50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</sheetData>
  <mergeCells count="6">
    <mergeCell ref="B1:Q1"/>
    <mergeCell ref="A2:A4"/>
    <mergeCell ref="C2:G2"/>
    <mergeCell ref="H2:K2"/>
    <mergeCell ref="M2:Q2"/>
    <mergeCell ref="B2:B3"/>
  </mergeCells>
  <phoneticPr fontId="63" type="noConversion"/>
  <printOptions horizontalCentered="1"/>
  <pageMargins left="0.35433070866141736" right="0.15748031496062992" top="0.78740157480314965" bottom="0.27559055118110237" header="0" footer="0"/>
  <pageSetup paperSize="9" scale="64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T43"/>
  <sheetViews>
    <sheetView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5"/>
  <cols>
    <col min="1" max="1" width="5.7109375" style="70" customWidth="1"/>
    <col min="2" max="2" width="38" style="54" customWidth="1"/>
    <col min="3" max="4" width="11.7109375" style="54" customWidth="1"/>
    <col min="5" max="5" width="12.42578125" style="64" customWidth="1"/>
    <col min="6" max="6" width="11.7109375" style="64" customWidth="1"/>
    <col min="7" max="7" width="13.28515625" style="64" customWidth="1"/>
    <col min="8" max="17" width="11.7109375" style="54" customWidth="1"/>
    <col min="18" max="18" width="10.7109375" style="54" hidden="1" customWidth="1"/>
    <col min="19" max="19" width="11" style="54" hidden="1" customWidth="1"/>
    <col min="20" max="16384" width="9.140625" style="54"/>
  </cols>
  <sheetData>
    <row r="1" spans="1:19" s="49" customFormat="1" ht="25.5" customHeight="1">
      <c r="A1" s="47"/>
      <c r="B1" s="610" t="s">
        <v>278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48"/>
      <c r="S1" s="48"/>
    </row>
    <row r="2" spans="1:19" s="51" customFormat="1" ht="34.5" customHeight="1">
      <c r="A2" s="611" t="s">
        <v>51</v>
      </c>
      <c r="B2" s="618" t="s">
        <v>279</v>
      </c>
      <c r="C2" s="615" t="s">
        <v>68</v>
      </c>
      <c r="D2" s="616"/>
      <c r="E2" s="616"/>
      <c r="F2" s="616"/>
      <c r="G2" s="620"/>
      <c r="H2" s="615" t="s">
        <v>69</v>
      </c>
      <c r="I2" s="616"/>
      <c r="J2" s="616"/>
      <c r="K2" s="616"/>
      <c r="L2" s="620"/>
      <c r="M2" s="621" t="s">
        <v>70</v>
      </c>
      <c r="N2" s="621"/>
      <c r="O2" s="621"/>
      <c r="P2" s="621"/>
      <c r="Q2" s="621"/>
      <c r="R2" s="50"/>
      <c r="S2" s="50"/>
    </row>
    <row r="3" spans="1:19" ht="18.75" customHeight="1">
      <c r="A3" s="611"/>
      <c r="B3" s="619"/>
      <c r="C3" s="52" t="s">
        <v>55</v>
      </c>
      <c r="D3" s="52" t="s">
        <v>56</v>
      </c>
      <c r="E3" s="55" t="s">
        <v>7</v>
      </c>
      <c r="F3" s="55" t="s">
        <v>8</v>
      </c>
      <c r="G3" s="55" t="s">
        <v>9</v>
      </c>
      <c r="H3" s="52" t="s">
        <v>55</v>
      </c>
      <c r="I3" s="52" t="s">
        <v>56</v>
      </c>
      <c r="J3" s="52" t="s">
        <v>7</v>
      </c>
      <c r="K3" s="52" t="s">
        <v>8</v>
      </c>
      <c r="L3" s="52" t="s">
        <v>9</v>
      </c>
      <c r="M3" s="448" t="s">
        <v>55</v>
      </c>
      <c r="N3" s="448" t="s">
        <v>56</v>
      </c>
      <c r="O3" s="448" t="s">
        <v>7</v>
      </c>
      <c r="P3" s="448" t="s">
        <v>8</v>
      </c>
      <c r="Q3" s="448" t="s">
        <v>9</v>
      </c>
      <c r="R3" s="53" t="s">
        <v>7</v>
      </c>
      <c r="S3" s="52" t="s">
        <v>8</v>
      </c>
    </row>
    <row r="4" spans="1:19" ht="17.25" customHeight="1">
      <c r="A4" s="611"/>
      <c r="B4" s="290">
        <v>41129</v>
      </c>
      <c r="C4" s="52" t="s">
        <v>10</v>
      </c>
      <c r="D4" s="52" t="s">
        <v>10</v>
      </c>
      <c r="E4" s="55" t="s">
        <v>10</v>
      </c>
      <c r="F4" s="55" t="s">
        <v>71</v>
      </c>
      <c r="G4" s="55" t="s">
        <v>12</v>
      </c>
      <c r="H4" s="52"/>
      <c r="I4" s="52"/>
      <c r="J4" s="52"/>
      <c r="K4" s="52"/>
      <c r="L4" s="52"/>
      <c r="M4" s="448" t="s">
        <v>10</v>
      </c>
      <c r="N4" s="448" t="s">
        <v>10</v>
      </c>
      <c r="O4" s="448" t="s">
        <v>10</v>
      </c>
      <c r="P4" s="448" t="s">
        <v>11</v>
      </c>
      <c r="Q4" s="448" t="s">
        <v>12</v>
      </c>
      <c r="R4" s="53" t="s">
        <v>65</v>
      </c>
      <c r="S4" s="52" t="s">
        <v>66</v>
      </c>
    </row>
    <row r="5" spans="1:19" ht="18.75" customHeight="1">
      <c r="A5" s="56"/>
      <c r="B5" s="57" t="s">
        <v>13</v>
      </c>
      <c r="C5" s="57"/>
      <c r="D5" s="57"/>
      <c r="E5" s="58"/>
      <c r="F5" s="58"/>
      <c r="G5" s="58"/>
      <c r="H5" s="57"/>
      <c r="I5" s="57"/>
      <c r="J5" s="57"/>
      <c r="K5" s="57"/>
      <c r="L5" s="57"/>
      <c r="M5" s="454"/>
      <c r="N5" s="454"/>
      <c r="O5" s="454"/>
      <c r="P5" s="454"/>
      <c r="Q5" s="454"/>
      <c r="R5" s="59"/>
      <c r="S5" s="59"/>
    </row>
    <row r="6" spans="1:19" s="64" customFormat="1" ht="18.75" customHeight="1">
      <c r="A6" s="60">
        <v>1</v>
      </c>
      <c r="B6" s="61" t="s">
        <v>14</v>
      </c>
      <c r="C6" s="62">
        <v>9.76</v>
      </c>
      <c r="D6" s="62">
        <v>398.05</v>
      </c>
      <c r="E6" s="62">
        <v>433.82</v>
      </c>
      <c r="F6" s="62">
        <v>-44.26</v>
      </c>
      <c r="G6" s="62">
        <v>554.07000000000005</v>
      </c>
      <c r="H6" s="71">
        <f ca="1">+'Revenue Deficit (%GSDP)'!H6</f>
        <v>4810</v>
      </c>
      <c r="I6" s="71">
        <f ca="1">+'Revenue Deficit (%GSDP)'!I6</f>
        <v>5687</v>
      </c>
      <c r="J6" s="71">
        <f ca="1">+'Revenue Deficit (%GSDP)'!J6</f>
        <v>7085</v>
      </c>
      <c r="K6" s="71">
        <f ca="1">+'Revenue Deficit (%GSDP)'!K6</f>
        <v>8233</v>
      </c>
      <c r="L6" s="71">
        <f ca="1">+'Revenue Deficit (%GSDP)'!L6</f>
        <v>9357</v>
      </c>
      <c r="M6" s="455">
        <f t="shared" ref="M6:Q21" si="0">+C6/H6*100</f>
        <v>0.20291060291060289</v>
      </c>
      <c r="N6" s="455">
        <f t="shared" si="0"/>
        <v>6.999296641462986</v>
      </c>
      <c r="O6" s="455">
        <f>+E6/J6*100</f>
        <v>6.1230769230769226</v>
      </c>
      <c r="P6" s="455">
        <f>+F6/K6*100</f>
        <v>-0.53759261508563094</v>
      </c>
      <c r="Q6" s="455">
        <f>+G6/L6*100</f>
        <v>5.9214491824302673</v>
      </c>
      <c r="R6" s="62" t="e">
        <f>+#REF!/#REF!*100</f>
        <v>#REF!</v>
      </c>
      <c r="S6" s="62" t="e">
        <f>+#REF!/#REF!*100</f>
        <v>#REF!</v>
      </c>
    </row>
    <row r="7" spans="1:19" ht="18.75" customHeight="1">
      <c r="A7" s="60">
        <v>2</v>
      </c>
      <c r="B7" s="59" t="s">
        <v>15</v>
      </c>
      <c r="C7" s="62">
        <v>-752.87</v>
      </c>
      <c r="D7" s="62">
        <v>-1432.52</v>
      </c>
      <c r="E7" s="62">
        <v>959.12</v>
      </c>
      <c r="F7" s="62">
        <v>3823.17</v>
      </c>
      <c r="G7" s="62">
        <v>2674.01</v>
      </c>
      <c r="H7" s="71">
        <f ca="1">+'Revenue Deficit (%GSDP)'!H7</f>
        <v>71076</v>
      </c>
      <c r="I7" s="71">
        <f ca="1">+'Revenue Deficit (%GSDP)'!I7</f>
        <v>81074</v>
      </c>
      <c r="J7" s="71">
        <f ca="1">+'Revenue Deficit (%GSDP)'!J7</f>
        <v>92737</v>
      </c>
      <c r="K7" s="71">
        <f ca="1">+'Revenue Deficit (%GSDP)'!K7</f>
        <v>104015</v>
      </c>
      <c r="L7" s="71">
        <f ca="1">+'Revenue Deficit (%GSDP)'!L7</f>
        <v>115408</v>
      </c>
      <c r="M7" s="455">
        <f t="shared" si="0"/>
        <v>-1.0592464404299622</v>
      </c>
      <c r="N7" s="455">
        <f t="shared" si="0"/>
        <v>-1.7669289784641191</v>
      </c>
      <c r="O7" s="455">
        <f t="shared" si="0"/>
        <v>1.034236604591479</v>
      </c>
      <c r="P7" s="455">
        <f t="shared" si="0"/>
        <v>3.6755948661250781</v>
      </c>
      <c r="Q7" s="455">
        <f t="shared" si="0"/>
        <v>2.3170057535006241</v>
      </c>
      <c r="R7" s="62" t="e">
        <f>+#REF!/#REF!*100</f>
        <v>#REF!</v>
      </c>
      <c r="S7" s="62" t="e">
        <f>+#REF!/#REF!*100</f>
        <v>#REF!</v>
      </c>
    </row>
    <row r="8" spans="1:19" ht="18.75" customHeight="1">
      <c r="A8" s="60">
        <v>3</v>
      </c>
      <c r="B8" s="59" t="s">
        <v>16</v>
      </c>
      <c r="C8" s="68">
        <v>551.61</v>
      </c>
      <c r="D8" s="68">
        <v>2205.84</v>
      </c>
      <c r="E8" s="62">
        <v>2783.92</v>
      </c>
      <c r="F8" s="62">
        <v>1832.97</v>
      </c>
      <c r="G8" s="62">
        <v>1630.36</v>
      </c>
      <c r="H8" s="71">
        <f ca="1">+'Revenue Deficit (%GSDP)'!H8</f>
        <v>33963</v>
      </c>
      <c r="I8" s="71">
        <f ca="1">+'Revenue Deficit (%GSDP)'!I8</f>
        <v>41483</v>
      </c>
      <c r="J8" s="71">
        <f ca="1">+'Revenue Deficit (%GSDP)'!J8</f>
        <v>48189</v>
      </c>
      <c r="K8" s="71">
        <f ca="1">+'Revenue Deficit (%GSDP)'!K8</f>
        <v>56119</v>
      </c>
      <c r="L8" s="71">
        <f ca="1">+'Revenue Deficit (%GSDP)'!L8</f>
        <v>63331</v>
      </c>
      <c r="M8" s="455">
        <f t="shared" si="0"/>
        <v>1.6241498100874483</v>
      </c>
      <c r="N8" s="455">
        <f t="shared" si="0"/>
        <v>5.3174553431526173</v>
      </c>
      <c r="O8" s="455">
        <f t="shared" si="0"/>
        <v>5.7770860569839595</v>
      </c>
      <c r="P8" s="455">
        <f t="shared" si="0"/>
        <v>3.2662199967925307</v>
      </c>
      <c r="Q8" s="455">
        <f t="shared" si="0"/>
        <v>2.5743474759596405</v>
      </c>
      <c r="R8" s="62" t="e">
        <f>+#REF!/#REF!*100</f>
        <v>#REF!</v>
      </c>
      <c r="S8" s="62" t="e">
        <f>+#REF!/#REF!*100</f>
        <v>#REF!</v>
      </c>
    </row>
    <row r="9" spans="1:19" s="64" customFormat="1" ht="18.75" customHeight="1">
      <c r="A9" s="60">
        <v>4</v>
      </c>
      <c r="B9" s="61" t="s">
        <v>60</v>
      </c>
      <c r="C9" s="62">
        <v>2269.29</v>
      </c>
      <c r="D9" s="62">
        <v>2709.16</v>
      </c>
      <c r="E9" s="62">
        <v>3900.96</v>
      </c>
      <c r="F9" s="62">
        <v>2366.83</v>
      </c>
      <c r="G9" s="62">
        <v>2979.5</v>
      </c>
      <c r="H9" s="71">
        <f ca="1">+'Revenue Deficit (%GSDP)'!H9</f>
        <v>37099</v>
      </c>
      <c r="I9" s="71">
        <f ca="1">+'Revenue Deficit (%GSDP)'!I9</f>
        <v>42315</v>
      </c>
      <c r="J9" s="71">
        <f ca="1">+'Revenue Deficit (%GSDP)'!J9</f>
        <v>48382</v>
      </c>
      <c r="K9" s="71">
        <f ca="1">+'Revenue Deficit (%GSDP)'!K9</f>
        <v>55446</v>
      </c>
      <c r="L9" s="71">
        <f ca="1">+'Revenue Deficit (%GSDP)'!L9</f>
        <v>63589</v>
      </c>
      <c r="M9" s="455">
        <f t="shared" si="0"/>
        <v>6.1168495107684846</v>
      </c>
      <c r="N9" s="455">
        <f t="shared" si="0"/>
        <v>6.402363228169679</v>
      </c>
      <c r="O9" s="455">
        <f t="shared" si="0"/>
        <v>8.0628332851060325</v>
      </c>
      <c r="P9" s="455">
        <f t="shared" si="0"/>
        <v>4.2687118998665365</v>
      </c>
      <c r="Q9" s="455">
        <f t="shared" si="0"/>
        <v>4.6855588230668825</v>
      </c>
      <c r="R9" s="62" t="e">
        <f>+#REF!/#REF!*100</f>
        <v>#REF!</v>
      </c>
      <c r="S9" s="62" t="e">
        <f>+#REF!/#REF!*100</f>
        <v>#REF!</v>
      </c>
    </row>
    <row r="10" spans="1:19" ht="18.75" customHeight="1">
      <c r="A10" s="60">
        <v>5</v>
      </c>
      <c r="B10" s="59" t="s">
        <v>18</v>
      </c>
      <c r="C10" s="62">
        <v>-102.15</v>
      </c>
      <c r="D10" s="62">
        <v>216.88</v>
      </c>
      <c r="E10" s="62">
        <v>732.55</v>
      </c>
      <c r="F10" s="62">
        <v>568.73</v>
      </c>
      <c r="G10" s="62">
        <v>839.09</v>
      </c>
      <c r="H10" s="71">
        <f ca="1">+'Revenue Deficit (%GSDP)'!H10</f>
        <v>6783</v>
      </c>
      <c r="I10" s="71">
        <f ca="1">+'Revenue Deficit (%GSDP)'!I10</f>
        <v>7399</v>
      </c>
      <c r="J10" s="71">
        <f ca="1">+'Revenue Deficit (%GSDP)'!J10</f>
        <v>8314</v>
      </c>
      <c r="K10" s="71">
        <f ca="1">+'Revenue Deficit (%GSDP)'!K10</f>
        <v>9198</v>
      </c>
      <c r="L10" s="71">
        <f ca="1">+'Revenue Deficit (%GSDP)'!L10</f>
        <v>10188</v>
      </c>
      <c r="M10" s="455">
        <f t="shared" si="0"/>
        <v>-1.5059708093763824</v>
      </c>
      <c r="N10" s="455">
        <f t="shared" si="0"/>
        <v>2.9312069198540343</v>
      </c>
      <c r="O10" s="455">
        <f t="shared" si="0"/>
        <v>8.8110416165503977</v>
      </c>
      <c r="P10" s="455">
        <f t="shared" si="0"/>
        <v>6.183191998260491</v>
      </c>
      <c r="Q10" s="455">
        <f t="shared" si="0"/>
        <v>8.2360620337652133</v>
      </c>
      <c r="R10" s="62" t="e">
        <f>+#REF!/#REF!*100</f>
        <v>#REF!</v>
      </c>
      <c r="S10" s="62" t="e">
        <f>+#REF!/#REF!*100</f>
        <v>#REF!</v>
      </c>
    </row>
    <row r="11" spans="1:19" s="64" customFormat="1" ht="18.75" customHeight="1">
      <c r="A11" s="60">
        <v>6</v>
      </c>
      <c r="B11" s="61" t="s">
        <v>19</v>
      </c>
      <c r="C11" s="62">
        <v>214.19</v>
      </c>
      <c r="D11" s="62">
        <v>435.09</v>
      </c>
      <c r="E11" s="62">
        <v>226.3</v>
      </c>
      <c r="F11" s="62">
        <v>341.39</v>
      </c>
      <c r="G11" s="62">
        <v>223.16</v>
      </c>
      <c r="H11" s="71">
        <f ca="1">+'Revenue Deficit (%GSDP)'!H11</f>
        <v>9735</v>
      </c>
      <c r="I11" s="71">
        <f ca="1">+'Revenue Deficit (%GSDP)'!I11</f>
        <v>11617</v>
      </c>
      <c r="J11" s="71">
        <f ca="1">+'Revenue Deficit (%GSDP)'!J11</f>
        <v>12709</v>
      </c>
      <c r="K11" s="71">
        <f ca="1">+'Revenue Deficit (%GSDP)'!K11</f>
        <v>14086</v>
      </c>
      <c r="L11" s="71">
        <f ca="1">+'Revenue Deficit (%GSDP)'!L11</f>
        <v>15895</v>
      </c>
      <c r="M11" s="455">
        <f t="shared" si="0"/>
        <v>2.2002054442732408</v>
      </c>
      <c r="N11" s="455">
        <f t="shared" si="0"/>
        <v>3.7452870792803648</v>
      </c>
      <c r="O11" s="455">
        <f t="shared" si="0"/>
        <v>1.7806279014871351</v>
      </c>
      <c r="P11" s="455">
        <f t="shared" si="0"/>
        <v>2.4236120971177053</v>
      </c>
      <c r="Q11" s="455">
        <f t="shared" si="0"/>
        <v>1.4039635105379049</v>
      </c>
      <c r="R11" s="62" t="e">
        <f>+#REF!/#REF!*100</f>
        <v>#REF!</v>
      </c>
      <c r="S11" s="62" t="e">
        <f>+#REF!/#REF!*100</f>
        <v>#REF!</v>
      </c>
    </row>
    <row r="12" spans="1:19" s="64" customFormat="1" ht="18.75" customHeight="1">
      <c r="A12" s="60">
        <v>7</v>
      </c>
      <c r="B12" s="61" t="s">
        <v>20</v>
      </c>
      <c r="C12" s="62">
        <v>391.49</v>
      </c>
      <c r="D12" s="62">
        <v>74.849999999999994</v>
      </c>
      <c r="E12" s="62">
        <v>192.25</v>
      </c>
      <c r="F12" s="62">
        <v>1475.18</v>
      </c>
      <c r="G12" s="62">
        <v>683.6</v>
      </c>
      <c r="H12" s="71">
        <f ca="1">+'Revenue Deficit (%GSDP)'!H12</f>
        <v>3816</v>
      </c>
      <c r="I12" s="71">
        <f ca="1">+'Revenue Deficit (%GSDP)'!I12</f>
        <v>4577</v>
      </c>
      <c r="J12" s="71">
        <f ca="1">+'Revenue Deficit (%GSDP)'!J12</f>
        <v>5260</v>
      </c>
      <c r="K12" s="71">
        <f ca="1">+'Revenue Deficit (%GSDP)'!K12</f>
        <v>6058</v>
      </c>
      <c r="L12" s="71">
        <f ca="1">+'Revenue Deficit (%GSDP)'!L12</f>
        <v>6666.8290000000006</v>
      </c>
      <c r="M12" s="455">
        <f t="shared" si="0"/>
        <v>10.259171907756812</v>
      </c>
      <c r="N12" s="455">
        <f t="shared" si="0"/>
        <v>1.635350666375355</v>
      </c>
      <c r="O12" s="455">
        <f t="shared" si="0"/>
        <v>3.6549429657794672</v>
      </c>
      <c r="P12" s="455">
        <f t="shared" si="0"/>
        <v>24.350940904588974</v>
      </c>
      <c r="Q12" s="455">
        <f t="shared" si="0"/>
        <v>10.253750321179679</v>
      </c>
      <c r="R12" s="62" t="e">
        <f>+#REF!/#REF!*100</f>
        <v>#REF!</v>
      </c>
      <c r="S12" s="62" t="e">
        <f>+#REF!/#REF!*100</f>
        <v>#REF!</v>
      </c>
    </row>
    <row r="13" spans="1:19" s="64" customFormat="1" ht="18.75" customHeight="1">
      <c r="A13" s="60">
        <v>8</v>
      </c>
      <c r="B13" s="61" t="s">
        <v>21</v>
      </c>
      <c r="C13" s="62">
        <v>397.29</v>
      </c>
      <c r="D13" s="62">
        <v>361.4</v>
      </c>
      <c r="E13" s="62">
        <v>492.7</v>
      </c>
      <c r="F13" s="62">
        <v>916.1</v>
      </c>
      <c r="G13" s="62">
        <v>427.54</v>
      </c>
      <c r="H13" s="71">
        <f ca="1">+'Revenue Deficit (%GSDP)'!H13</f>
        <v>8075</v>
      </c>
      <c r="I13" s="71">
        <f ca="1">+'Revenue Deficit (%GSDP)'!I13</f>
        <v>9436</v>
      </c>
      <c r="J13" s="71">
        <f ca="1">+'Revenue Deficit (%GSDP)'!J13</f>
        <v>10507</v>
      </c>
      <c r="K13" s="71">
        <f ca="1">+'Revenue Deficit (%GSDP)'!K13</f>
        <v>11190</v>
      </c>
      <c r="L13" s="71">
        <f ca="1">+'Revenue Deficit (%GSDP)'!L13</f>
        <v>12134</v>
      </c>
      <c r="M13" s="455">
        <f t="shared" si="0"/>
        <v>4.92</v>
      </c>
      <c r="N13" s="455">
        <f t="shared" si="0"/>
        <v>3.8300127172530729</v>
      </c>
      <c r="O13" s="455">
        <f t="shared" si="0"/>
        <v>4.6892547825259348</v>
      </c>
      <c r="P13" s="455">
        <f t="shared" si="0"/>
        <v>8.186773905272565</v>
      </c>
      <c r="Q13" s="455">
        <f t="shared" si="0"/>
        <v>3.52348772045492</v>
      </c>
      <c r="R13" s="62" t="e">
        <f>+#REF!/#REF!*100</f>
        <v>#REF!</v>
      </c>
      <c r="S13" s="62" t="e">
        <f>+#REF!/#REF!*100</f>
        <v>#REF!</v>
      </c>
    </row>
    <row r="14" spans="1:19" s="64" customFormat="1" ht="18.75" customHeight="1">
      <c r="A14" s="60">
        <v>9</v>
      </c>
      <c r="B14" s="61" t="s">
        <v>22</v>
      </c>
      <c r="C14" s="62">
        <v>64.25</v>
      </c>
      <c r="D14" s="62">
        <v>234</v>
      </c>
      <c r="E14" s="62">
        <v>168.86</v>
      </c>
      <c r="F14" s="62">
        <v>316.25</v>
      </c>
      <c r="G14" s="62">
        <v>147.44999999999999</v>
      </c>
      <c r="H14" s="71">
        <f ca="1">+'Revenue Deficit (%GSDP)'!H14</f>
        <v>2506</v>
      </c>
      <c r="I14" s="71">
        <f ca="1">+'Revenue Deficit (%GSDP)'!I14</f>
        <v>3229</v>
      </c>
      <c r="J14" s="71">
        <f ca="1">+'Revenue Deficit (%GSDP)'!J14</f>
        <v>6133</v>
      </c>
      <c r="K14" s="71">
        <f ca="1">+'Revenue Deficit (%GSDP)'!K14</f>
        <v>7145</v>
      </c>
      <c r="L14" s="71">
        <f ca="1">+'Revenue Deficit (%GSDP)'!L14</f>
        <v>8400</v>
      </c>
      <c r="M14" s="455">
        <f t="shared" si="0"/>
        <v>2.563846767757382</v>
      </c>
      <c r="N14" s="455">
        <f t="shared" si="0"/>
        <v>7.2468256426138122</v>
      </c>
      <c r="O14" s="455">
        <f t="shared" si="0"/>
        <v>2.7533018098809721</v>
      </c>
      <c r="P14" s="455">
        <f t="shared" si="0"/>
        <v>4.4261721483554934</v>
      </c>
      <c r="Q14" s="455">
        <f t="shared" si="0"/>
        <v>1.7553571428571428</v>
      </c>
      <c r="R14" s="62" t="e">
        <f>+#REF!/#REF!*100</f>
        <v>#REF!</v>
      </c>
      <c r="S14" s="62" t="e">
        <f>+#REF!/#REF!*100</f>
        <v>#REF!</v>
      </c>
    </row>
    <row r="15" spans="1:19" s="64" customFormat="1" ht="18.75" customHeight="1">
      <c r="A15" s="60">
        <v>10</v>
      </c>
      <c r="B15" s="61" t="s">
        <v>23</v>
      </c>
      <c r="C15" s="62">
        <v>294.27</v>
      </c>
      <c r="D15" s="62">
        <v>281.08999999999997</v>
      </c>
      <c r="E15" s="62">
        <v>1141.1400000000001</v>
      </c>
      <c r="F15" s="62">
        <v>246.41</v>
      </c>
      <c r="G15" s="62">
        <v>441.25</v>
      </c>
      <c r="H15" s="71">
        <f ca="1">+'Revenue Deficit (%GSDP)'!H15</f>
        <v>11797</v>
      </c>
      <c r="I15" s="71">
        <f ca="1">+'Revenue Deficit (%GSDP)'!I15</f>
        <v>13573</v>
      </c>
      <c r="J15" s="71">
        <f ca="1">+'Revenue Deficit (%GSDP)'!J15</f>
        <v>15348</v>
      </c>
      <c r="K15" s="71">
        <f ca="1">+'Revenue Deficit (%GSDP)'!K15</f>
        <v>17387</v>
      </c>
      <c r="L15" s="71">
        <f ca="1">+'Revenue Deficit (%GSDP)'!L15</f>
        <v>19731</v>
      </c>
      <c r="M15" s="455">
        <f t="shared" si="0"/>
        <v>2.494447740951089</v>
      </c>
      <c r="N15" s="455">
        <f t="shared" si="0"/>
        <v>2.0709496795107931</v>
      </c>
      <c r="O15" s="455">
        <f>+E15/J15*100</f>
        <v>7.4351055512118851</v>
      </c>
      <c r="P15" s="455">
        <f>+F15/K15*100</f>
        <v>1.4172082590441135</v>
      </c>
      <c r="Q15" s="455">
        <f>+G15/L15*100</f>
        <v>2.2363286199381682</v>
      </c>
      <c r="R15" s="62" t="e">
        <f>+#REF!/#REF!*100</f>
        <v>#REF!</v>
      </c>
      <c r="S15" s="62" t="e">
        <f>+#REF!/#REF!*100</f>
        <v>#REF!</v>
      </c>
    </row>
    <row r="16" spans="1:19" s="64" customFormat="1" ht="18.75" customHeight="1">
      <c r="A16" s="60">
        <v>11</v>
      </c>
      <c r="B16" s="61" t="s">
        <v>24</v>
      </c>
      <c r="C16" s="62">
        <v>1742.4</v>
      </c>
      <c r="D16" s="62">
        <v>1844.96</v>
      </c>
      <c r="E16" s="62">
        <v>2783.32</v>
      </c>
      <c r="F16" s="62">
        <v>2752.08</v>
      </c>
      <c r="G16" s="62">
        <v>2618.23</v>
      </c>
      <c r="H16" s="71">
        <f ca="1">+'Revenue Deficit (%GSDP)'!H16</f>
        <v>45856</v>
      </c>
      <c r="I16" s="71">
        <f ca="1">+'Revenue Deficit (%GSDP)'!I16</f>
        <v>56025</v>
      </c>
      <c r="J16" s="71">
        <f ca="1">+'Revenue Deficit (%GSDP)'!J16</f>
        <v>70855</v>
      </c>
      <c r="K16" s="71">
        <f ca="1">+'Revenue Deficit (%GSDP)'!K16</f>
        <v>82460</v>
      </c>
      <c r="L16" s="71">
        <f ca="1">+'Revenue Deficit (%GSDP)'!L16</f>
        <v>95201</v>
      </c>
      <c r="M16" s="455">
        <f t="shared" si="0"/>
        <v>3.7997208653175156</v>
      </c>
      <c r="N16" s="455">
        <f t="shared" si="0"/>
        <v>3.2931012940651496</v>
      </c>
      <c r="O16" s="455">
        <f t="shared" si="0"/>
        <v>3.928191376755346</v>
      </c>
      <c r="P16" s="455">
        <f t="shared" si="0"/>
        <v>3.3374727140431721</v>
      </c>
      <c r="Q16" s="455">
        <f t="shared" si="0"/>
        <v>2.7502127078497076</v>
      </c>
      <c r="R16" s="62" t="e">
        <f>+#REF!/#REF!*100</f>
        <v>#REF!</v>
      </c>
      <c r="S16" s="62" t="e">
        <f>+#REF!/#REF!*100</f>
        <v>#REF!</v>
      </c>
    </row>
    <row r="17" spans="1:19" s="67" customFormat="1" ht="18.75" customHeight="1">
      <c r="A17" s="55"/>
      <c r="B17" s="58" t="s">
        <v>25</v>
      </c>
      <c r="C17" s="65">
        <f t="shared" ref="C17:L17" si="1">SUM(C6:C16)</f>
        <v>5079.53</v>
      </c>
      <c r="D17" s="65">
        <f t="shared" si="1"/>
        <v>7328.8</v>
      </c>
      <c r="E17" s="65">
        <f t="shared" si="1"/>
        <v>13814.94</v>
      </c>
      <c r="F17" s="65">
        <f t="shared" si="1"/>
        <v>14594.85</v>
      </c>
      <c r="G17" s="65">
        <f t="shared" si="1"/>
        <v>13218.260000000002</v>
      </c>
      <c r="H17" s="66">
        <f t="shared" si="1"/>
        <v>235516</v>
      </c>
      <c r="I17" s="66">
        <f t="shared" si="1"/>
        <v>276415</v>
      </c>
      <c r="J17" s="66">
        <f t="shared" si="1"/>
        <v>325519</v>
      </c>
      <c r="K17" s="66">
        <f t="shared" si="1"/>
        <v>371337</v>
      </c>
      <c r="L17" s="66">
        <f t="shared" si="1"/>
        <v>419900.82900000003</v>
      </c>
      <c r="M17" s="456">
        <f t="shared" si="0"/>
        <v>2.1567664192666314</v>
      </c>
      <c r="N17" s="456">
        <f t="shared" si="0"/>
        <v>2.6513756489336684</v>
      </c>
      <c r="O17" s="456">
        <f t="shared" si="0"/>
        <v>4.2439734700585836</v>
      </c>
      <c r="P17" s="456">
        <f t="shared" si="0"/>
        <v>3.9303516751629921</v>
      </c>
      <c r="Q17" s="456">
        <f t="shared" si="0"/>
        <v>3.1479480598977339</v>
      </c>
      <c r="R17" s="65" t="e">
        <f>+#REF!/#REF!*100</f>
        <v>#REF!</v>
      </c>
      <c r="S17" s="65" t="e">
        <f>+#REF!/#REF!*100</f>
        <v>#REF!</v>
      </c>
    </row>
    <row r="18" spans="1:19" s="64" customFormat="1" ht="18.75" customHeight="1">
      <c r="A18" s="60"/>
      <c r="B18" s="58" t="s">
        <v>26</v>
      </c>
      <c r="C18" s="65"/>
      <c r="D18" s="65"/>
      <c r="E18" s="65"/>
      <c r="F18" s="65"/>
      <c r="G18" s="65"/>
      <c r="H18" s="66"/>
      <c r="I18" s="66"/>
      <c r="J18" s="66"/>
      <c r="K18" s="66"/>
      <c r="L18" s="66"/>
      <c r="M18" s="455"/>
      <c r="N18" s="455"/>
      <c r="O18" s="456"/>
      <c r="P18" s="456"/>
      <c r="Q18" s="456"/>
      <c r="R18" s="62"/>
      <c r="S18" s="62"/>
    </row>
    <row r="19" spans="1:19" ht="18.75" customHeight="1">
      <c r="A19" s="56">
        <v>12</v>
      </c>
      <c r="B19" s="59" t="s">
        <v>27</v>
      </c>
      <c r="C19" s="62">
        <v>8787</v>
      </c>
      <c r="D19" s="62">
        <v>12405.83</v>
      </c>
      <c r="E19" s="62">
        <v>14009.55</v>
      </c>
      <c r="F19" s="62">
        <v>11803.45</v>
      </c>
      <c r="G19" s="62">
        <v>17601.939999999999</v>
      </c>
      <c r="H19" s="71">
        <f ca="1">+'Revenue Deficit (%GSDP)'!H19</f>
        <v>364813</v>
      </c>
      <c r="I19" s="71">
        <f ca="1">+'Revenue Deficit (%GSDP)'!I19</f>
        <v>426765</v>
      </c>
      <c r="J19" s="71">
        <f ca="1">+'Revenue Deficit (%GSDP)'!J19</f>
        <v>490411</v>
      </c>
      <c r="K19" s="71">
        <f ca="1">+'Revenue Deficit (%GSDP)'!K19</f>
        <v>588963</v>
      </c>
      <c r="L19" s="71">
        <f ca="1">+'Revenue Deficit (%GSDP)'!L19</f>
        <v>675798</v>
      </c>
      <c r="M19" s="455">
        <f t="shared" ref="M19:Q36" si="2">+C19/H19*100</f>
        <v>2.408631271363685</v>
      </c>
      <c r="N19" s="455">
        <f t="shared" si="2"/>
        <v>2.9069464459362879</v>
      </c>
      <c r="O19" s="455">
        <f t="shared" si="0"/>
        <v>2.8566957103327613</v>
      </c>
      <c r="P19" s="455">
        <f t="shared" si="0"/>
        <v>2.0041072189594256</v>
      </c>
      <c r="Q19" s="455">
        <f t="shared" si="0"/>
        <v>2.604615580395325</v>
      </c>
      <c r="R19" s="62" t="e">
        <f>+#REF!/#REF!*100</f>
        <v>#REF!</v>
      </c>
      <c r="S19" s="62" t="e">
        <f>+#REF!/#REF!*100</f>
        <v>#REF!</v>
      </c>
    </row>
    <row r="20" spans="1:19" ht="18.75" customHeight="1">
      <c r="A20" s="56">
        <v>13</v>
      </c>
      <c r="B20" s="59" t="s">
        <v>28</v>
      </c>
      <c r="C20" s="62">
        <v>1703.46</v>
      </c>
      <c r="D20" s="62">
        <v>2506.9699999999998</v>
      </c>
      <c r="E20" s="62">
        <v>5273.01</v>
      </c>
      <c r="F20" s="62">
        <v>3970.31</v>
      </c>
      <c r="G20" s="62">
        <v>4354.91</v>
      </c>
      <c r="H20" s="71">
        <f ca="1">+'Revenue Deficit (%GSDP)'!H20</f>
        <v>113680</v>
      </c>
      <c r="I20" s="71">
        <f ca="1">+'Revenue Deficit (%GSDP)'!I20</f>
        <v>142279</v>
      </c>
      <c r="J20" s="71">
        <f ca="1">+'Revenue Deficit (%GSDP)'!J20</f>
        <v>163800</v>
      </c>
      <c r="K20" s="71">
        <f ca="1">+'Revenue Deficit (%GSDP)'!K20</f>
        <v>201856</v>
      </c>
      <c r="L20" s="71">
        <f ca="1">+'Revenue Deficit (%GSDP)'!L20</f>
        <v>252694</v>
      </c>
      <c r="M20" s="455">
        <f t="shared" si="2"/>
        <v>1.4984693877551021</v>
      </c>
      <c r="N20" s="455">
        <f t="shared" si="2"/>
        <v>1.7620098538786468</v>
      </c>
      <c r="O20" s="455">
        <f t="shared" si="0"/>
        <v>3.2191758241758248</v>
      </c>
      <c r="P20" s="455">
        <f t="shared" si="0"/>
        <v>1.9669021480659479</v>
      </c>
      <c r="Q20" s="455">
        <f t="shared" si="0"/>
        <v>1.7233927200487547</v>
      </c>
      <c r="R20" s="62" t="e">
        <f>+#REF!/#REF!*100</f>
        <v>#REF!</v>
      </c>
      <c r="S20" s="62" t="e">
        <f>+#REF!/#REF!*100</f>
        <v>#REF!</v>
      </c>
    </row>
    <row r="21" spans="1:19" ht="18.75" customHeight="1">
      <c r="A21" s="56">
        <v>14</v>
      </c>
      <c r="B21" s="59" t="s">
        <v>29</v>
      </c>
      <c r="C21" s="62">
        <v>-345.64</v>
      </c>
      <c r="D21" s="62">
        <v>1026.6600000000001</v>
      </c>
      <c r="E21" s="62">
        <v>1759.02</v>
      </c>
      <c r="F21" s="62">
        <v>-409.77</v>
      </c>
      <c r="G21" s="62">
        <v>3819.79</v>
      </c>
      <c r="H21" s="71">
        <f ca="1">+'Revenue Deficit (%GSDP)'!H21</f>
        <v>80255</v>
      </c>
      <c r="I21" s="71">
        <f ca="1">+'Revenue Deficit (%GSDP)'!I21</f>
        <v>96972</v>
      </c>
      <c r="J21" s="71">
        <f ca="1">+'Revenue Deficit (%GSDP)'!J21</f>
        <v>99262</v>
      </c>
      <c r="K21" s="71">
        <f ca="1">+'Revenue Deficit (%GSDP)'!K21</f>
        <v>117567</v>
      </c>
      <c r="L21" s="71">
        <f ca="1">+'Revenue Deficit (%GSDP)'!L21</f>
        <v>135536</v>
      </c>
      <c r="M21" s="455">
        <f t="shared" si="2"/>
        <v>-0.43067721637281164</v>
      </c>
      <c r="N21" s="455">
        <f t="shared" si="2"/>
        <v>1.0587179804479645</v>
      </c>
      <c r="O21" s="455">
        <f t="shared" si="0"/>
        <v>1.7720980838588787</v>
      </c>
      <c r="P21" s="455">
        <f t="shared" si="0"/>
        <v>-0.3485416826150195</v>
      </c>
      <c r="Q21" s="455">
        <f t="shared" si="0"/>
        <v>2.8182844410341161</v>
      </c>
      <c r="R21" s="62" t="e">
        <f>+#REF!/#REF!*100</f>
        <v>#REF!</v>
      </c>
      <c r="S21" s="62" t="e">
        <f>+#REF!/#REF!*100</f>
        <v>#REF!</v>
      </c>
    </row>
    <row r="22" spans="1:19" ht="18.75" customHeight="1">
      <c r="A22" s="56">
        <v>15</v>
      </c>
      <c r="B22" s="59" t="s">
        <v>30</v>
      </c>
      <c r="C22" s="62">
        <v>612.70000000000005</v>
      </c>
      <c r="D22" s="62">
        <v>916.16</v>
      </c>
      <c r="E22" s="62">
        <v>1242.04</v>
      </c>
      <c r="F22" s="62">
        <v>744.65</v>
      </c>
      <c r="G22" s="62">
        <v>438.27</v>
      </c>
      <c r="H22" s="71">
        <f ca="1">+'Revenue Deficit (%GSDP)'!H22</f>
        <v>19565</v>
      </c>
      <c r="I22" s="71">
        <f ca="1">+'Revenue Deficit (%GSDP)'!I22</f>
        <v>25414</v>
      </c>
      <c r="J22" s="71">
        <f ca="1">+'Revenue Deficit (%GSDP)'!J22</f>
        <v>29126</v>
      </c>
      <c r="K22" s="71">
        <f ca="1">+'Revenue Deficit (%GSDP)'!K22</f>
        <v>32563</v>
      </c>
      <c r="L22" s="71">
        <f ca="1">+'Revenue Deficit (%GSDP)'!L22</f>
        <v>44460</v>
      </c>
      <c r="M22" s="455">
        <f t="shared" si="2"/>
        <v>3.1316125734730389</v>
      </c>
      <c r="N22" s="455">
        <f t="shared" si="2"/>
        <v>3.6049421578657435</v>
      </c>
      <c r="O22" s="455">
        <f t="shared" si="2"/>
        <v>4.2643686053697731</v>
      </c>
      <c r="P22" s="455">
        <f t="shared" si="2"/>
        <v>2.2867978994564382</v>
      </c>
      <c r="Q22" s="455">
        <f t="shared" si="2"/>
        <v>0.98576248313090409</v>
      </c>
      <c r="R22" s="62" t="e">
        <f>+#REF!/#REF!*100</f>
        <v>#REF!</v>
      </c>
      <c r="S22" s="62" t="e">
        <f>+#REF!/#REF!*100</f>
        <v>#REF!</v>
      </c>
    </row>
    <row r="23" spans="1:19" ht="18.75" customHeight="1">
      <c r="A23" s="56">
        <v>16</v>
      </c>
      <c r="B23" s="59" t="s">
        <v>31</v>
      </c>
      <c r="C23" s="62">
        <v>4095.25</v>
      </c>
      <c r="D23" s="62">
        <v>9553.11</v>
      </c>
      <c r="E23" s="62">
        <v>15291.81</v>
      </c>
      <c r="F23" s="62">
        <v>12945.15</v>
      </c>
      <c r="G23" s="62">
        <v>14279.1</v>
      </c>
      <c r="H23" s="71">
        <f ca="1">+'Revenue Deficit (%GSDP)'!H23</f>
        <v>329285</v>
      </c>
      <c r="I23" s="71">
        <f ca="1">+'Revenue Deficit (%GSDP)'!I23</f>
        <v>367912</v>
      </c>
      <c r="J23" s="71">
        <f ca="1">+'Revenue Deficit (%GSDP)'!J23</f>
        <v>427555</v>
      </c>
      <c r="K23" s="71">
        <f ca="1">+'Revenue Deficit (%GSDP)'!K23</f>
        <v>513173</v>
      </c>
      <c r="L23" s="71">
        <f ca="1">+'Revenue Deficit (%GSDP)'!L23</f>
        <v>586300.15250000008</v>
      </c>
      <c r="M23" s="455">
        <f t="shared" si="2"/>
        <v>1.2436794873741592</v>
      </c>
      <c r="N23" s="455">
        <f t="shared" si="2"/>
        <v>2.5965747243906154</v>
      </c>
      <c r="O23" s="455">
        <f t="shared" si="2"/>
        <v>3.5765714352539439</v>
      </c>
      <c r="P23" s="455">
        <f t="shared" si="2"/>
        <v>2.5225703612621864</v>
      </c>
      <c r="Q23" s="455">
        <f t="shared" si="2"/>
        <v>2.4354590288120379</v>
      </c>
      <c r="R23" s="62" t="e">
        <f>+#REF!/#REF!*100</f>
        <v>#REF!</v>
      </c>
      <c r="S23" s="62" t="e">
        <f>+#REF!/#REF!*100</f>
        <v>#REF!</v>
      </c>
    </row>
    <row r="24" spans="1:19" ht="18.75" customHeight="1">
      <c r="A24" s="56">
        <v>17</v>
      </c>
      <c r="B24" s="59" t="s">
        <v>32</v>
      </c>
      <c r="C24" s="62">
        <v>1263</v>
      </c>
      <c r="D24" s="62">
        <v>6558</v>
      </c>
      <c r="E24" s="62">
        <v>10090</v>
      </c>
      <c r="F24" s="62">
        <v>7258</v>
      </c>
      <c r="G24" s="62">
        <v>8009</v>
      </c>
      <c r="H24" s="71">
        <f ca="1">+'Revenue Deficit (%GSDP)'!H24</f>
        <v>151593</v>
      </c>
      <c r="I24" s="71">
        <f ca="1">+'Revenue Deficit (%GSDP)'!I24</f>
        <v>182481</v>
      </c>
      <c r="J24" s="71">
        <f ca="1">+'Revenue Deficit (%GSDP)'!J24</f>
        <v>223567</v>
      </c>
      <c r="K24" s="71">
        <f ca="1">+'Revenue Deficit (%GSDP)'!K24</f>
        <v>263975</v>
      </c>
      <c r="L24" s="71">
        <f ca="1">+'Revenue Deficit (%GSDP)'!L24</f>
        <v>308943</v>
      </c>
      <c r="M24" s="455">
        <f t="shared" si="2"/>
        <v>0.83315192654014358</v>
      </c>
      <c r="N24" s="455">
        <f t="shared" si="2"/>
        <v>3.5937988064510824</v>
      </c>
      <c r="O24" s="455">
        <f t="shared" si="2"/>
        <v>4.5131884401544058</v>
      </c>
      <c r="P24" s="455">
        <f t="shared" si="2"/>
        <v>2.7495027938251728</v>
      </c>
      <c r="Q24" s="455">
        <f t="shared" si="2"/>
        <v>2.5923875925332505</v>
      </c>
      <c r="R24" s="62" t="e">
        <f>+#REF!/#REF!*100</f>
        <v>#REF!</v>
      </c>
      <c r="S24" s="62" t="e">
        <f>+#REF!/#REF!*100</f>
        <v>#REF!</v>
      </c>
    </row>
    <row r="25" spans="1:19" ht="18.75" customHeight="1">
      <c r="A25" s="56">
        <v>18</v>
      </c>
      <c r="B25" s="59" t="s">
        <v>33</v>
      </c>
      <c r="C25" s="68">
        <v>1942.4</v>
      </c>
      <c r="D25" s="68">
        <v>3114.61</v>
      </c>
      <c r="E25" s="62">
        <v>3012.16</v>
      </c>
      <c r="F25" s="62">
        <v>2111.36</v>
      </c>
      <c r="G25" s="62">
        <v>3390.49</v>
      </c>
      <c r="H25" s="71">
        <f ca="1">+'Revenue Deficit (%GSDP)'!H25</f>
        <v>83950</v>
      </c>
      <c r="I25" s="71">
        <f ca="1">+'Revenue Deficit (%GSDP)'!I25</f>
        <v>87794</v>
      </c>
      <c r="J25" s="71">
        <f ca="1">+'Revenue Deficit (%GSDP)'!J25</f>
        <v>100621</v>
      </c>
      <c r="K25" s="71">
        <f ca="1">+'Revenue Deficit (%GSDP)'!K25</f>
        <v>115535</v>
      </c>
      <c r="L25" s="71">
        <f ca="1">+'Revenue Deficit (%GSDP)'!L25</f>
        <v>130505</v>
      </c>
      <c r="M25" s="455">
        <f t="shared" si="2"/>
        <v>2.3137581893984516</v>
      </c>
      <c r="N25" s="455">
        <f t="shared" si="2"/>
        <v>3.5476342346857419</v>
      </c>
      <c r="O25" s="455">
        <f t="shared" si="2"/>
        <v>2.9935699307301658</v>
      </c>
      <c r="P25" s="455">
        <f t="shared" si="2"/>
        <v>1.8274635391872593</v>
      </c>
      <c r="Q25" s="455">
        <f t="shared" si="2"/>
        <v>2.597977089000421</v>
      </c>
      <c r="R25" s="62" t="e">
        <f>+#REF!/#REF!*100</f>
        <v>#REF!</v>
      </c>
      <c r="S25" s="62" t="e">
        <f>+#REF!/#REF!*100</f>
        <v>#REF!</v>
      </c>
    </row>
    <row r="26" spans="1:19" ht="18.75" customHeight="1">
      <c r="A26" s="56">
        <v>19</v>
      </c>
      <c r="B26" s="59" t="s">
        <v>34</v>
      </c>
      <c r="C26" s="62">
        <v>5331</v>
      </c>
      <c r="D26" s="62">
        <v>8732.4599999999991</v>
      </c>
      <c r="E26" s="62">
        <v>10874</v>
      </c>
      <c r="F26" s="62">
        <v>10688</v>
      </c>
      <c r="G26" s="62">
        <v>12482</v>
      </c>
      <c r="H26" s="71">
        <f ca="1">+'Revenue Deficit (%GSDP)'!H26</f>
        <v>270629</v>
      </c>
      <c r="I26" s="71">
        <f ca="1">+'Revenue Deficit (%GSDP)'!I26</f>
        <v>310312</v>
      </c>
      <c r="J26" s="71">
        <f ca="1">+'Revenue Deficit (%GSDP)'!J26</f>
        <v>337516</v>
      </c>
      <c r="K26" s="71">
        <f ca="1">+'Revenue Deficit (%GSDP)'!K26</f>
        <v>399347</v>
      </c>
      <c r="L26" s="71">
        <f ca="1">+'Revenue Deficit (%GSDP)'!L26</f>
        <v>458903</v>
      </c>
      <c r="M26" s="455">
        <f t="shared" si="2"/>
        <v>1.969855410913095</v>
      </c>
      <c r="N26" s="455">
        <f t="shared" si="2"/>
        <v>2.8140903348887569</v>
      </c>
      <c r="O26" s="455">
        <f t="shared" si="2"/>
        <v>3.2217731900117328</v>
      </c>
      <c r="P26" s="455">
        <f t="shared" si="2"/>
        <v>2.676369172674391</v>
      </c>
      <c r="Q26" s="455">
        <f t="shared" si="2"/>
        <v>2.7199647855864968</v>
      </c>
      <c r="R26" s="62" t="e">
        <f>+#REF!/#REF!*100</f>
        <v>#REF!</v>
      </c>
      <c r="S26" s="62" t="e">
        <f>+#REF!/#REF!*100</f>
        <v>#REF!</v>
      </c>
    </row>
    <row r="27" spans="1:19" ht="18.75" customHeight="1">
      <c r="A27" s="56">
        <v>20</v>
      </c>
      <c r="B27" s="59" t="s">
        <v>35</v>
      </c>
      <c r="C27" s="62">
        <v>6100.2</v>
      </c>
      <c r="D27" s="62">
        <v>6346.23</v>
      </c>
      <c r="E27" s="62">
        <v>7871.61</v>
      </c>
      <c r="F27" s="62">
        <v>7730.96</v>
      </c>
      <c r="G27" s="62">
        <v>11760.47</v>
      </c>
      <c r="H27" s="71">
        <f ca="1">+'Revenue Deficit (%GSDP)'!H27</f>
        <v>175141</v>
      </c>
      <c r="I27" s="71">
        <f ca="1">+'Revenue Deficit (%GSDP)'!I27</f>
        <v>202783</v>
      </c>
      <c r="J27" s="71">
        <f ca="1">+'Revenue Deficit (%GSDP)'!J27</f>
        <v>232381</v>
      </c>
      <c r="K27" s="71">
        <f ca="1">+'Revenue Deficit (%GSDP)'!K27</f>
        <v>276997</v>
      </c>
      <c r="L27" s="71">
        <f ca="1">+'Revenue Deficit (%GSDP)'!L27</f>
        <v>326693</v>
      </c>
      <c r="M27" s="455">
        <f t="shared" si="2"/>
        <v>3.4830222506437671</v>
      </c>
      <c r="N27" s="455">
        <f t="shared" si="2"/>
        <v>3.1295670741630213</v>
      </c>
      <c r="O27" s="455">
        <f t="shared" si="2"/>
        <v>3.387372461604004</v>
      </c>
      <c r="P27" s="455">
        <f t="shared" si="2"/>
        <v>2.7909905161427742</v>
      </c>
      <c r="Q27" s="455">
        <f t="shared" si="2"/>
        <v>3.5998536852641467</v>
      </c>
      <c r="R27" s="62" t="e">
        <f>+#REF!/#REF!*100</f>
        <v>#REF!</v>
      </c>
      <c r="S27" s="62" t="e">
        <f>+#REF!/#REF!*100</f>
        <v>#REF!</v>
      </c>
    </row>
    <row r="28" spans="1:19" ht="18.75" customHeight="1">
      <c r="A28" s="56">
        <v>21</v>
      </c>
      <c r="B28" s="59" t="s">
        <v>36</v>
      </c>
      <c r="C28" s="62">
        <v>2783.93</v>
      </c>
      <c r="D28" s="62">
        <v>4433.6000000000004</v>
      </c>
      <c r="E28" s="62">
        <v>6196.14</v>
      </c>
      <c r="F28" s="62">
        <v>5272.03</v>
      </c>
      <c r="G28" s="62">
        <v>7981.79</v>
      </c>
      <c r="H28" s="71">
        <f ca="1">+'Revenue Deficit (%GSDP)'!H28</f>
        <v>161479</v>
      </c>
      <c r="I28" s="71">
        <f ca="1">+'Revenue Deficit (%GSDP)'!I28</f>
        <v>197276</v>
      </c>
      <c r="J28" s="71">
        <f ca="1">+'Revenue Deficit (%GSDP)'!J28</f>
        <v>227984</v>
      </c>
      <c r="K28" s="71">
        <f ca="1">+'Revenue Deficit (%GSDP)'!K28</f>
        <v>260403</v>
      </c>
      <c r="L28" s="71">
        <f ca="1">+'Revenue Deficit (%GSDP)'!L28</f>
        <v>315387</v>
      </c>
      <c r="M28" s="455">
        <f t="shared" si="2"/>
        <v>1.7240198415893087</v>
      </c>
      <c r="N28" s="455">
        <f t="shared" si="2"/>
        <v>2.2474097203917358</v>
      </c>
      <c r="O28" s="455">
        <f t="shared" si="2"/>
        <v>2.7177959856832059</v>
      </c>
      <c r="P28" s="455">
        <f t="shared" si="2"/>
        <v>2.0245657692115682</v>
      </c>
      <c r="Q28" s="455">
        <f t="shared" si="2"/>
        <v>2.5307923281555675</v>
      </c>
      <c r="R28" s="62" t="e">
        <f>+#REF!/#REF!*100</f>
        <v>#REF!</v>
      </c>
      <c r="S28" s="62" t="e">
        <f>+#REF!/#REF!*100</f>
        <v>#REF!</v>
      </c>
    </row>
    <row r="29" spans="1:19" s="64" customFormat="1" ht="18.75" customHeight="1">
      <c r="A29" s="60">
        <v>22</v>
      </c>
      <c r="B29" s="61" t="s">
        <v>37</v>
      </c>
      <c r="C29" s="62">
        <v>-2820.93</v>
      </c>
      <c r="D29" s="62">
        <v>14016.77</v>
      </c>
      <c r="E29" s="62">
        <v>26155.34</v>
      </c>
      <c r="F29" s="62">
        <v>18873.82</v>
      </c>
      <c r="G29" s="62">
        <v>22804.86</v>
      </c>
      <c r="H29" s="71">
        <f ca="1">+'Revenue Deficit (%GSDP)'!H29</f>
        <v>679004</v>
      </c>
      <c r="I29" s="71">
        <f ca="1">+'Revenue Deficit (%GSDP)'!I29</f>
        <v>756334</v>
      </c>
      <c r="J29" s="71">
        <f ca="1">+'Revenue Deficit (%GSDP)'!J29</f>
        <v>901330</v>
      </c>
      <c r="K29" s="71">
        <f ca="1">+'Revenue Deficit (%GSDP)'!K29</f>
        <v>1029621</v>
      </c>
      <c r="L29" s="71">
        <f ca="1">+'Revenue Deficit (%GSDP)'!L29</f>
        <v>1180302</v>
      </c>
      <c r="M29" s="455">
        <f t="shared" si="2"/>
        <v>-0.4154511608179039</v>
      </c>
      <c r="N29" s="455">
        <f t="shared" si="2"/>
        <v>1.8532513413386149</v>
      </c>
      <c r="O29" s="455">
        <f t="shared" si="2"/>
        <v>2.9018605838039342</v>
      </c>
      <c r="P29" s="455">
        <f t="shared" si="2"/>
        <v>1.8330842125403424</v>
      </c>
      <c r="Q29" s="455">
        <f t="shared" si="2"/>
        <v>1.9321207623133743</v>
      </c>
      <c r="R29" s="62" t="e">
        <f>+#REF!/#REF!*100</f>
        <v>#REF!</v>
      </c>
      <c r="S29" s="62" t="e">
        <f>+#REF!/#REF!*100</f>
        <v>#REF!</v>
      </c>
    </row>
    <row r="30" spans="1:19" s="64" customFormat="1" ht="18.75" customHeight="1">
      <c r="A30" s="60">
        <v>23</v>
      </c>
      <c r="B30" s="61" t="s">
        <v>104</v>
      </c>
      <c r="C30" s="62">
        <v>-1323.13</v>
      </c>
      <c r="D30" s="62">
        <v>334.04</v>
      </c>
      <c r="E30" s="62">
        <v>2256.06</v>
      </c>
      <c r="F30" s="62">
        <v>657.77</v>
      </c>
      <c r="G30" s="62">
        <v>6016.71</v>
      </c>
      <c r="H30" s="71">
        <f ca="1">+'Revenue Deficit (%GSDP)'!H30</f>
        <v>129274</v>
      </c>
      <c r="I30" s="71">
        <f ca="1">+'Revenue Deficit (%GSDP)'!I30</f>
        <v>148491</v>
      </c>
      <c r="J30" s="71">
        <f ca="1">+'Revenue Deficit (%GSDP)'!J30</f>
        <v>163727</v>
      </c>
      <c r="K30" s="71">
        <f ca="1">+'Revenue Deficit (%GSDP)'!K30</f>
        <v>195028</v>
      </c>
      <c r="L30" s="71">
        <f ca="1">+'Revenue Deficit (%GSDP)'!L30</f>
        <v>226236</v>
      </c>
      <c r="M30" s="455">
        <f t="shared" si="2"/>
        <v>-1.0235082073734858</v>
      </c>
      <c r="N30" s="455">
        <f t="shared" si="2"/>
        <v>0.22495639466364967</v>
      </c>
      <c r="O30" s="455">
        <f t="shared" si="2"/>
        <v>1.3779401076181692</v>
      </c>
      <c r="P30" s="455">
        <f t="shared" si="2"/>
        <v>0.33726952027401191</v>
      </c>
      <c r="Q30" s="455">
        <f t="shared" si="2"/>
        <v>2.659483901766297</v>
      </c>
      <c r="R30" s="62" t="e">
        <f>+#REF!/#REF!*100</f>
        <v>#REF!</v>
      </c>
      <c r="S30" s="62" t="e">
        <f>+#REF!/#REF!*100</f>
        <v>#REF!</v>
      </c>
    </row>
    <row r="31" spans="1:19" s="64" customFormat="1" ht="18.75" customHeight="1">
      <c r="A31" s="60">
        <v>24</v>
      </c>
      <c r="B31" s="61" t="s">
        <v>39</v>
      </c>
      <c r="C31" s="62">
        <v>4603.83</v>
      </c>
      <c r="D31" s="62">
        <v>6690.45</v>
      </c>
      <c r="E31" s="62">
        <v>6170.09</v>
      </c>
      <c r="F31" s="62">
        <v>7143.3</v>
      </c>
      <c r="G31" s="62">
        <v>8801.33</v>
      </c>
      <c r="H31" s="71">
        <f ca="1">+'Revenue Deficit (%GSDP)'!H31</f>
        <v>152245</v>
      </c>
      <c r="I31" s="71">
        <f ca="1">+'Revenue Deficit (%GSDP)'!I31</f>
        <v>174039</v>
      </c>
      <c r="J31" s="71">
        <f ca="1">+'Revenue Deficit (%GSDP)'!J31</f>
        <v>198393</v>
      </c>
      <c r="K31" s="71">
        <f ca="1">+'Revenue Deficit (%GSDP)'!K31</f>
        <v>224975</v>
      </c>
      <c r="L31" s="71">
        <f ca="1">+'Revenue Deficit (%GSDP)'!L31</f>
        <v>248301</v>
      </c>
      <c r="M31" s="455">
        <f t="shared" si="2"/>
        <v>3.0239613780419718</v>
      </c>
      <c r="N31" s="455">
        <f t="shared" si="2"/>
        <v>3.8442245703549203</v>
      </c>
      <c r="O31" s="455">
        <f t="shared" si="2"/>
        <v>3.1100341241878491</v>
      </c>
      <c r="P31" s="455">
        <f t="shared" si="2"/>
        <v>3.1751527947549727</v>
      </c>
      <c r="Q31" s="455">
        <f t="shared" si="2"/>
        <v>3.5446212459877326</v>
      </c>
      <c r="R31" s="62" t="e">
        <f>+#REF!/#REF!*100</f>
        <v>#REF!</v>
      </c>
      <c r="S31" s="62" t="e">
        <f>+#REF!/#REF!*100</f>
        <v>#REF!</v>
      </c>
    </row>
    <row r="32" spans="1:19" s="64" customFormat="1" ht="18.75" customHeight="1">
      <c r="A32" s="60">
        <v>25</v>
      </c>
      <c r="B32" s="61" t="s">
        <v>40</v>
      </c>
      <c r="C32" s="62">
        <v>3408.38</v>
      </c>
      <c r="D32" s="62">
        <v>6973.32</v>
      </c>
      <c r="E32" s="62">
        <v>10298.790000000001</v>
      </c>
      <c r="F32" s="62">
        <v>4126.0600000000004</v>
      </c>
      <c r="G32" s="62">
        <v>8063.46</v>
      </c>
      <c r="H32" s="71">
        <f ca="1">+'Revenue Deficit (%GSDP)'!H32</f>
        <v>194822</v>
      </c>
      <c r="I32" s="71">
        <f ca="1">+'Revenue Deficit (%GSDP)'!I32</f>
        <v>230949</v>
      </c>
      <c r="J32" s="71">
        <f ca="1">+'Revenue Deficit (%GSDP)'!J32</f>
        <v>263258</v>
      </c>
      <c r="K32" s="71">
        <f ca="1">+'Revenue Deficit (%GSDP)'!K32</f>
        <v>323682</v>
      </c>
      <c r="L32" s="71">
        <f ca="1">+'Revenue Deficit (%GSDP)'!L32</f>
        <v>368320</v>
      </c>
      <c r="M32" s="455">
        <f t="shared" si="2"/>
        <v>1.7494841445011344</v>
      </c>
      <c r="N32" s="455">
        <f t="shared" si="2"/>
        <v>3.0194198719197747</v>
      </c>
      <c r="O32" s="455">
        <f t="shared" si="2"/>
        <v>3.9120520553981271</v>
      </c>
      <c r="P32" s="455">
        <f t="shared" si="2"/>
        <v>1.2747264290260196</v>
      </c>
      <c r="Q32" s="455">
        <f t="shared" si="2"/>
        <v>2.1892539096437882</v>
      </c>
      <c r="R32" s="62" t="e">
        <f>+#REF!/#REF!*100</f>
        <v>#REF!</v>
      </c>
      <c r="S32" s="62" t="e">
        <f>+#REF!/#REF!*100</f>
        <v>#REF!</v>
      </c>
    </row>
    <row r="33" spans="1:20" s="64" customFormat="1" ht="18.75" customHeight="1">
      <c r="A33" s="60">
        <v>26</v>
      </c>
      <c r="B33" s="61" t="s">
        <v>41</v>
      </c>
      <c r="C33" s="62">
        <v>3685.58</v>
      </c>
      <c r="D33" s="62">
        <v>8547.76</v>
      </c>
      <c r="E33" s="62">
        <v>11807.25</v>
      </c>
      <c r="F33" s="62">
        <v>16646.62</v>
      </c>
      <c r="G33" s="62">
        <v>16881.009999999998</v>
      </c>
      <c r="H33" s="71">
        <f ca="1">+'Revenue Deficit (%GSDP)'!H33</f>
        <v>350819</v>
      </c>
      <c r="I33" s="71">
        <f ca="1">+'Revenue Deficit (%GSDP)'!I33</f>
        <v>401336</v>
      </c>
      <c r="J33" s="71">
        <f ca="1">+'Revenue Deficit (%GSDP)'!J33</f>
        <v>479720</v>
      </c>
      <c r="K33" s="71">
        <f ca="1">+'Revenue Deficit (%GSDP)'!K33</f>
        <v>566422</v>
      </c>
      <c r="L33" s="71">
        <f ca="1">+'Revenue Deficit (%GSDP)'!L33</f>
        <v>639025</v>
      </c>
      <c r="M33" s="455">
        <f t="shared" si="2"/>
        <v>1.0505645361283169</v>
      </c>
      <c r="N33" s="455">
        <f t="shared" si="2"/>
        <v>2.1298263798911634</v>
      </c>
      <c r="O33" s="455">
        <f t="shared" si="2"/>
        <v>2.4612794963728839</v>
      </c>
      <c r="P33" s="455">
        <f t="shared" si="2"/>
        <v>2.9389077401654595</v>
      </c>
      <c r="Q33" s="455">
        <f t="shared" si="2"/>
        <v>2.6416822503031958</v>
      </c>
      <c r="R33" s="62" t="e">
        <f>+#REF!/#REF!*100</f>
        <v>#REF!</v>
      </c>
      <c r="S33" s="62" t="e">
        <f>+#REF!/#REF!*100</f>
        <v>#REF!</v>
      </c>
    </row>
    <row r="34" spans="1:20" s="64" customFormat="1" ht="18.75" customHeight="1">
      <c r="A34" s="60">
        <v>27</v>
      </c>
      <c r="B34" s="61" t="s">
        <v>42</v>
      </c>
      <c r="C34" s="62">
        <v>13794</v>
      </c>
      <c r="D34" s="62">
        <v>20512.8</v>
      </c>
      <c r="E34" s="62">
        <v>18692.7</v>
      </c>
      <c r="F34" s="62">
        <v>17247.7</v>
      </c>
      <c r="G34" s="62">
        <v>18685.91</v>
      </c>
      <c r="H34" s="71">
        <f ca="1">+'Revenue Deficit (%GSDP)'!H34</f>
        <v>383026</v>
      </c>
      <c r="I34" s="71">
        <f ca="1">+'Revenue Deficit (%GSDP)'!I34</f>
        <v>444685</v>
      </c>
      <c r="J34" s="71">
        <f ca="1">+'Revenue Deficit (%GSDP)'!J34</f>
        <v>523193</v>
      </c>
      <c r="K34" s="71">
        <f ca="1">+'Revenue Deficit (%GSDP)'!K34</f>
        <v>605219</v>
      </c>
      <c r="L34" s="71">
        <f ca="1">+'Revenue Deficit (%GSDP)'!L34</f>
        <v>687836</v>
      </c>
      <c r="M34" s="455">
        <f t="shared" si="2"/>
        <v>3.6013221034603395</v>
      </c>
      <c r="N34" s="455">
        <f t="shared" si="2"/>
        <v>4.6128832769263637</v>
      </c>
      <c r="O34" s="455">
        <f t="shared" si="2"/>
        <v>3.5728115628458332</v>
      </c>
      <c r="P34" s="455">
        <f t="shared" si="2"/>
        <v>2.8498279135321267</v>
      </c>
      <c r="Q34" s="455">
        <f t="shared" si="2"/>
        <v>2.7166228577742366</v>
      </c>
      <c r="R34" s="62" t="e">
        <f>+#REF!/#REF!*100</f>
        <v>#REF!</v>
      </c>
      <c r="S34" s="62" t="e">
        <f>+#REF!/#REF!*100</f>
        <v>#REF!</v>
      </c>
    </row>
    <row r="35" spans="1:20" s="64" customFormat="1" ht="18.75" customHeight="1">
      <c r="A35" s="60">
        <v>28</v>
      </c>
      <c r="B35" s="61" t="s">
        <v>43</v>
      </c>
      <c r="C35" s="62">
        <v>11400.26</v>
      </c>
      <c r="D35" s="62">
        <v>13558.04</v>
      </c>
      <c r="E35" s="62">
        <v>24954.63</v>
      </c>
      <c r="F35" s="62">
        <v>19570.97</v>
      </c>
      <c r="G35" s="62">
        <v>15561.38</v>
      </c>
      <c r="H35" s="71">
        <f ca="1">+'Revenue Deficit (%GSDP)'!H35</f>
        <v>299483</v>
      </c>
      <c r="I35" s="71">
        <f ca="1">+'Revenue Deficit (%GSDP)'!I35</f>
        <v>341942</v>
      </c>
      <c r="J35" s="71">
        <f ca="1">+'Revenue Deficit (%GSDP)'!J35</f>
        <v>398933</v>
      </c>
      <c r="K35" s="71">
        <f ca="1">+'Revenue Deficit (%GSDP)'!K35</f>
        <v>467421</v>
      </c>
      <c r="L35" s="71">
        <f ca="1">+'Revenue Deficit (%GSDP)'!L35</f>
        <v>541586</v>
      </c>
      <c r="M35" s="455">
        <f t="shared" si="2"/>
        <v>3.8066467879645924</v>
      </c>
      <c r="N35" s="455">
        <f t="shared" si="2"/>
        <v>3.9650116101561084</v>
      </c>
      <c r="O35" s="455">
        <f t="shared" si="2"/>
        <v>6.2553436291307065</v>
      </c>
      <c r="P35" s="455">
        <f t="shared" si="2"/>
        <v>4.1870112810507019</v>
      </c>
      <c r="Q35" s="455">
        <f t="shared" si="2"/>
        <v>2.8732980542333073</v>
      </c>
      <c r="R35" s="62" t="e">
        <f>+#REF!/#REF!*100</f>
        <v>#REF!</v>
      </c>
      <c r="S35" s="62" t="e">
        <f>+#REF!/#REF!*100</f>
        <v>#REF!</v>
      </c>
    </row>
    <row r="36" spans="1:20" s="67" customFormat="1" ht="18.75" customHeight="1">
      <c r="A36" s="55"/>
      <c r="B36" s="58" t="s">
        <v>44</v>
      </c>
      <c r="C36" s="65">
        <f t="shared" ref="C36:L36" si="3">SUM(C19:C35)</f>
        <v>65021.29</v>
      </c>
      <c r="D36" s="65">
        <f t="shared" si="3"/>
        <v>126226.81</v>
      </c>
      <c r="E36" s="65">
        <f t="shared" si="3"/>
        <v>175954.2</v>
      </c>
      <c r="F36" s="65">
        <f t="shared" si="3"/>
        <v>146380.38</v>
      </c>
      <c r="G36" s="65">
        <f t="shared" si="3"/>
        <v>180932.42</v>
      </c>
      <c r="H36" s="66">
        <f t="shared" si="3"/>
        <v>3939063</v>
      </c>
      <c r="I36" s="66">
        <f t="shared" si="3"/>
        <v>4537764</v>
      </c>
      <c r="J36" s="66">
        <f t="shared" si="3"/>
        <v>5260777</v>
      </c>
      <c r="K36" s="66">
        <f t="shared" si="3"/>
        <v>6182747</v>
      </c>
      <c r="L36" s="66">
        <f t="shared" si="3"/>
        <v>7126825.1524999999</v>
      </c>
      <c r="M36" s="456">
        <f t="shared" si="2"/>
        <v>1.6506791082041592</v>
      </c>
      <c r="N36" s="456">
        <f t="shared" si="2"/>
        <v>2.7816962274811998</v>
      </c>
      <c r="O36" s="456">
        <f t="shared" si="2"/>
        <v>3.344642816070706</v>
      </c>
      <c r="P36" s="456">
        <f t="shared" si="2"/>
        <v>2.3675621855463276</v>
      </c>
      <c r="Q36" s="456">
        <f t="shared" si="2"/>
        <v>2.5387520547846076</v>
      </c>
      <c r="R36" s="65" t="e">
        <f>+#REF!/#REF!*100</f>
        <v>#REF!</v>
      </c>
      <c r="S36" s="65" t="e">
        <f>+#REF!/#REF!*100</f>
        <v>#REF!</v>
      </c>
    </row>
    <row r="37" spans="1:20" s="64" customFormat="1" ht="18.75" customHeight="1">
      <c r="A37" s="60"/>
      <c r="B37" s="58" t="s">
        <v>45</v>
      </c>
      <c r="C37" s="65"/>
      <c r="D37" s="65"/>
      <c r="E37" s="65"/>
      <c r="F37" s="65"/>
      <c r="G37" s="65"/>
      <c r="H37" s="66"/>
      <c r="I37" s="66"/>
      <c r="J37" s="66"/>
      <c r="K37" s="66"/>
      <c r="L37" s="66"/>
      <c r="M37" s="455"/>
      <c r="N37" s="455"/>
      <c r="O37" s="455"/>
      <c r="P37" s="455"/>
      <c r="Q37" s="455"/>
      <c r="R37" s="62"/>
      <c r="S37" s="62"/>
    </row>
    <row r="38" spans="1:20" s="64" customFormat="1" ht="18.75" customHeight="1">
      <c r="A38" s="60">
        <v>29</v>
      </c>
      <c r="B38" s="61" t="s">
        <v>46</v>
      </c>
      <c r="C38" s="62">
        <v>2040.87</v>
      </c>
      <c r="D38" s="62">
        <v>2824.07</v>
      </c>
      <c r="E38" s="62">
        <v>3549.96</v>
      </c>
      <c r="F38" s="62">
        <v>-729.61</v>
      </c>
      <c r="G38" s="62">
        <v>2738.01</v>
      </c>
      <c r="H38" s="71">
        <f ca="1">+'Revenue Deficit (%GSDP)'!H38</f>
        <v>157947</v>
      </c>
      <c r="I38" s="71">
        <f ca="1">+'Revenue Deficit (%GSDP)'!I38</f>
        <v>189533</v>
      </c>
      <c r="J38" s="71">
        <f ca="1">+'Revenue Deficit (%GSDP)'!J38</f>
        <v>223759</v>
      </c>
      <c r="K38" s="71">
        <f ca="1">+'Revenue Deficit (%GSDP)'!K38</f>
        <v>264496</v>
      </c>
      <c r="L38" s="71">
        <f ca="1">+'Revenue Deficit (%GSDP)'!L38</f>
        <v>313934</v>
      </c>
      <c r="M38" s="455">
        <f t="shared" ref="M38:Q42" si="4">+C38/H38*100</f>
        <v>1.2921233071853215</v>
      </c>
      <c r="N38" s="455">
        <f t="shared" si="4"/>
        <v>1.4900149314367419</v>
      </c>
      <c r="O38" s="455">
        <f t="shared" si="4"/>
        <v>1.5865104867290254</v>
      </c>
      <c r="P38" s="455">
        <f t="shared" si="4"/>
        <v>-0.27584916218014643</v>
      </c>
      <c r="Q38" s="455">
        <f t="shared" si="4"/>
        <v>0.8721610274771131</v>
      </c>
      <c r="R38" s="62"/>
      <c r="S38" s="62" t="e">
        <f>+#REF!/#REF!*100</f>
        <v>#REF!</v>
      </c>
    </row>
    <row r="39" spans="1:20" s="64" customFormat="1" ht="18.75" customHeight="1">
      <c r="A39" s="60">
        <v>30</v>
      </c>
      <c r="B39" s="61" t="s">
        <v>47</v>
      </c>
      <c r="C39" s="62">
        <v>478</v>
      </c>
      <c r="D39" s="62">
        <v>524</v>
      </c>
      <c r="E39" s="62">
        <v>739</v>
      </c>
      <c r="F39" s="62">
        <v>887</v>
      </c>
      <c r="G39" s="62">
        <v>1140</v>
      </c>
      <c r="H39" s="71">
        <f ca="1">+'Revenue Deficit (%GSDP)'!H39</f>
        <v>9251</v>
      </c>
      <c r="I39" s="71">
        <f ca="1">+'Revenue Deficit (%GSDP)'!I39</f>
        <v>10050</v>
      </c>
      <c r="J39" s="71">
        <f ca="1">+'Revenue Deficit (%GSDP)'!J39</f>
        <v>11344</v>
      </c>
      <c r="K39" s="71">
        <f ca="1">+'Revenue Deficit (%GSDP)'!K39</f>
        <v>12929</v>
      </c>
      <c r="L39" s="71">
        <f ca="1">+'Revenue Deficit (%GSDP)'!L39</f>
        <v>13724</v>
      </c>
      <c r="M39" s="455">
        <f t="shared" si="4"/>
        <v>5.1670089720030266</v>
      </c>
      <c r="N39" s="455">
        <f t="shared" si="4"/>
        <v>5.2139303482587067</v>
      </c>
      <c r="O39" s="455">
        <f t="shared" si="4"/>
        <v>6.5144569816643152</v>
      </c>
      <c r="P39" s="455">
        <f t="shared" si="4"/>
        <v>6.8605460592466541</v>
      </c>
      <c r="Q39" s="455">
        <f t="shared" si="4"/>
        <v>8.3066161468959478</v>
      </c>
      <c r="R39" s="62"/>
      <c r="S39" s="62" t="e">
        <f>+#REF!/#REF!*100</f>
        <v>#REF!</v>
      </c>
    </row>
    <row r="40" spans="1:20" s="67" customFormat="1" ht="18.75" customHeight="1">
      <c r="A40" s="55"/>
      <c r="B40" s="58" t="s">
        <v>67</v>
      </c>
      <c r="C40" s="65">
        <f t="shared" ref="C40:L40" si="5">SUM(C38:C39)</f>
        <v>2518.87</v>
      </c>
      <c r="D40" s="65">
        <f t="shared" si="5"/>
        <v>3348.07</v>
      </c>
      <c r="E40" s="65">
        <f>SUM(E38:E39)</f>
        <v>4288.96</v>
      </c>
      <c r="F40" s="65">
        <f>SUM(F38:F39)</f>
        <v>157.38999999999999</v>
      </c>
      <c r="G40" s="65">
        <f>SUM(G38:G39)</f>
        <v>3878.01</v>
      </c>
      <c r="H40" s="66">
        <f t="shared" si="5"/>
        <v>167198</v>
      </c>
      <c r="I40" s="66">
        <f t="shared" si="5"/>
        <v>199583</v>
      </c>
      <c r="J40" s="66">
        <f t="shared" si="5"/>
        <v>235103</v>
      </c>
      <c r="K40" s="66">
        <f t="shared" si="5"/>
        <v>277425</v>
      </c>
      <c r="L40" s="66">
        <f t="shared" si="5"/>
        <v>327658</v>
      </c>
      <c r="M40" s="456">
        <f t="shared" si="4"/>
        <v>1.5065192167370423</v>
      </c>
      <c r="N40" s="456">
        <f t="shared" si="4"/>
        <v>1.6775326555868986</v>
      </c>
      <c r="O40" s="456">
        <f t="shared" si="4"/>
        <v>1.8242897793732959</v>
      </c>
      <c r="P40" s="456">
        <f t="shared" si="4"/>
        <v>5.6732450211768946E-2</v>
      </c>
      <c r="Q40" s="456">
        <f t="shared" si="4"/>
        <v>1.1835541937019698</v>
      </c>
      <c r="R40" s="65" t="e">
        <f>+#REF!/#REF!*100</f>
        <v>#REF!</v>
      </c>
      <c r="S40" s="65" t="e">
        <f>+#REF!/#REF!*100</f>
        <v>#REF!</v>
      </c>
    </row>
    <row r="41" spans="1:20" s="64" customFormat="1" ht="5.25" customHeight="1">
      <c r="A41" s="60"/>
      <c r="B41" s="61"/>
      <c r="C41" s="62"/>
      <c r="D41" s="62"/>
      <c r="E41" s="62"/>
      <c r="F41" s="62"/>
      <c r="G41" s="62"/>
      <c r="H41" s="69"/>
      <c r="I41" s="69"/>
      <c r="J41" s="69"/>
      <c r="K41" s="69"/>
      <c r="L41" s="69"/>
      <c r="M41" s="455"/>
      <c r="N41" s="455"/>
      <c r="O41" s="456"/>
      <c r="P41" s="456"/>
      <c r="Q41" s="456"/>
      <c r="R41" s="65"/>
      <c r="S41" s="65"/>
      <c r="T41" s="67"/>
    </row>
    <row r="42" spans="1:20" s="67" customFormat="1" ht="12.75">
      <c r="A42" s="55"/>
      <c r="B42" s="58" t="s">
        <v>49</v>
      </c>
      <c r="C42" s="65">
        <f t="shared" ref="C42:L42" si="6">+C17+C36+C40</f>
        <v>72619.69</v>
      </c>
      <c r="D42" s="65">
        <f t="shared" si="6"/>
        <v>136903.67999999999</v>
      </c>
      <c r="E42" s="65">
        <f>+E17+E36+E40</f>
        <v>194058.1</v>
      </c>
      <c r="F42" s="65">
        <f>+F17+F36+F40</f>
        <v>161132.62000000002</v>
      </c>
      <c r="G42" s="65">
        <f>+G17+G36+G40</f>
        <v>198028.69000000003</v>
      </c>
      <c r="H42" s="66">
        <f t="shared" si="6"/>
        <v>4341777</v>
      </c>
      <c r="I42" s="66">
        <f t="shared" si="6"/>
        <v>5013762</v>
      </c>
      <c r="J42" s="66">
        <f t="shared" si="6"/>
        <v>5821399</v>
      </c>
      <c r="K42" s="66">
        <f t="shared" si="6"/>
        <v>6831509</v>
      </c>
      <c r="L42" s="66">
        <f t="shared" si="6"/>
        <v>7874383.9814999998</v>
      </c>
      <c r="M42" s="456">
        <f>+C42/H42*100</f>
        <v>1.672579913708143</v>
      </c>
      <c r="N42" s="456">
        <f>+D42/I42*100</f>
        <v>2.7305580121274202</v>
      </c>
      <c r="O42" s="456">
        <f t="shared" si="4"/>
        <v>3.3335303077490481</v>
      </c>
      <c r="P42" s="456">
        <f t="shared" si="4"/>
        <v>2.3586680483038229</v>
      </c>
      <c r="Q42" s="456">
        <f t="shared" si="4"/>
        <v>2.5148467545556161</v>
      </c>
      <c r="R42" s="65" t="e">
        <f>+#REF!/#REF!*100</f>
        <v>#REF!</v>
      </c>
      <c r="S42" s="65" t="e">
        <f>+#REF!/#REF!*100</f>
        <v>#REF!</v>
      </c>
    </row>
    <row r="43" spans="1:20" s="14" customFormat="1" ht="12.75">
      <c r="A43" s="22"/>
      <c r="B43" s="23" t="s">
        <v>50</v>
      </c>
      <c r="C43" s="24"/>
      <c r="D43" s="24"/>
      <c r="E43" s="24"/>
      <c r="F43" s="24"/>
      <c r="G43" s="24" t="s">
        <v>308</v>
      </c>
      <c r="H43" s="24"/>
      <c r="I43" s="24"/>
      <c r="J43" s="24"/>
      <c r="K43" s="24"/>
      <c r="L43" s="24"/>
      <c r="M43" s="24"/>
      <c r="N43" s="24"/>
    </row>
  </sheetData>
  <mergeCells count="6">
    <mergeCell ref="B1:Q1"/>
    <mergeCell ref="A2:A4"/>
    <mergeCell ref="C2:G2"/>
    <mergeCell ref="H2:L2"/>
    <mergeCell ref="M2:Q2"/>
    <mergeCell ref="B2:B3"/>
  </mergeCells>
  <phoneticPr fontId="63" type="noConversion"/>
  <printOptions horizontalCentered="1"/>
  <pageMargins left="0.35433070866141736" right="0.15748031496062992" top="0.78740157480314965" bottom="0.39370078740157483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fitToPage="1"/>
  </sheetPr>
  <dimension ref="A1:R119"/>
  <sheetViews>
    <sheetView zoomScaleNormal="10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RowHeight="14.25"/>
  <cols>
    <col min="1" max="1" width="6.140625" style="350" customWidth="1"/>
    <col min="2" max="2" width="21.85546875" style="348" customWidth="1"/>
    <col min="3" max="3" width="14.28515625" style="350" customWidth="1"/>
    <col min="4" max="4" width="14.140625" style="350" customWidth="1"/>
    <col min="5" max="5" width="13.42578125" style="350" customWidth="1"/>
    <col min="6" max="6" width="14" style="350" customWidth="1"/>
    <col min="7" max="7" width="13.140625" style="350" customWidth="1"/>
    <col min="8" max="8" width="15.28515625" style="350" customWidth="1"/>
    <col min="9" max="9" width="14.5703125" style="350" customWidth="1"/>
    <col min="10" max="10" width="15.28515625" style="350" customWidth="1"/>
    <col min="11" max="11" width="12.140625" style="350" customWidth="1"/>
    <col min="12" max="12" width="13" style="350" customWidth="1"/>
    <col min="13" max="13" width="11.7109375" style="350" customWidth="1"/>
    <col min="14" max="15" width="12.28515625" style="350" customWidth="1"/>
    <col min="16" max="17" width="11.7109375" style="350" customWidth="1"/>
    <col min="18" max="18" width="10.5703125" style="350" customWidth="1"/>
    <col min="19" max="16384" width="9.140625" style="350"/>
  </cols>
  <sheetData>
    <row r="1" spans="1:18" ht="24" customHeight="1">
      <c r="A1" s="501" t="s">
        <v>268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1:18" ht="14.25" customHeight="1">
      <c r="A2" s="351"/>
      <c r="B2" s="497">
        <v>41129</v>
      </c>
      <c r="C2" s="496"/>
      <c r="D2" s="496"/>
      <c r="E2" s="496"/>
      <c r="F2" s="351"/>
      <c r="G2" s="345"/>
      <c r="L2" s="401" t="s">
        <v>258</v>
      </c>
    </row>
    <row r="3" spans="1:18" s="355" customFormat="1" ht="17.25" customHeight="1">
      <c r="A3" s="503" t="s">
        <v>99</v>
      </c>
      <c r="B3" s="523" t="s">
        <v>241</v>
      </c>
      <c r="C3" s="346" t="s">
        <v>55</v>
      </c>
      <c r="D3" s="346" t="s">
        <v>56</v>
      </c>
      <c r="E3" s="346" t="s">
        <v>7</v>
      </c>
      <c r="F3" s="346" t="s">
        <v>8</v>
      </c>
      <c r="G3" s="346" t="s">
        <v>9</v>
      </c>
      <c r="H3" s="346" t="s">
        <v>55</v>
      </c>
      <c r="I3" s="346" t="s">
        <v>56</v>
      </c>
      <c r="J3" s="346" t="s">
        <v>7</v>
      </c>
      <c r="K3" s="346" t="s">
        <v>8</v>
      </c>
      <c r="L3" s="347" t="s">
        <v>9</v>
      </c>
      <c r="M3" s="346" t="s">
        <v>55</v>
      </c>
      <c r="N3" s="346" t="s">
        <v>56</v>
      </c>
      <c r="O3" s="346" t="s">
        <v>7</v>
      </c>
      <c r="P3" s="346" t="s">
        <v>8</v>
      </c>
      <c r="Q3" s="346" t="s">
        <v>9</v>
      </c>
      <c r="R3" s="346" t="s">
        <v>130</v>
      </c>
    </row>
    <row r="4" spans="1:18" s="403" customFormat="1" ht="36.75" customHeight="1">
      <c r="A4" s="503"/>
      <c r="B4" s="523"/>
      <c r="C4" s="402" t="s">
        <v>242</v>
      </c>
      <c r="D4" s="402" t="s">
        <v>242</v>
      </c>
      <c r="E4" s="402" t="s">
        <v>242</v>
      </c>
      <c r="F4" s="402" t="s">
        <v>242</v>
      </c>
      <c r="G4" s="402" t="s">
        <v>243</v>
      </c>
      <c r="H4" s="524" t="s">
        <v>311</v>
      </c>
      <c r="I4" s="525"/>
      <c r="J4" s="525"/>
      <c r="K4" s="525"/>
      <c r="L4" s="526"/>
      <c r="M4" s="402" t="s">
        <v>242</v>
      </c>
      <c r="N4" s="402" t="s">
        <v>242</v>
      </c>
      <c r="O4" s="402" t="s">
        <v>242</v>
      </c>
      <c r="P4" s="402" t="s">
        <v>242</v>
      </c>
      <c r="Q4" s="402" t="s">
        <v>243</v>
      </c>
      <c r="R4" s="404" t="s">
        <v>299</v>
      </c>
    </row>
    <row r="5" spans="1:18" s="412" customFormat="1" ht="16.5" customHeight="1">
      <c r="A5" s="503"/>
      <c r="B5" s="523"/>
      <c r="C5" s="521" t="s">
        <v>270</v>
      </c>
      <c r="D5" s="522"/>
      <c r="E5" s="522"/>
      <c r="F5" s="522"/>
      <c r="G5" s="522"/>
      <c r="H5" s="521" t="s">
        <v>303</v>
      </c>
      <c r="I5" s="522"/>
      <c r="J5" s="522"/>
      <c r="K5" s="522"/>
      <c r="L5" s="522"/>
      <c r="M5" s="520" t="s">
        <v>269</v>
      </c>
      <c r="N5" s="520"/>
      <c r="O5" s="520"/>
      <c r="P5" s="520"/>
      <c r="Q5" s="520"/>
      <c r="R5" s="520"/>
    </row>
    <row r="6" spans="1:18" ht="22.5" customHeight="1">
      <c r="A6" s="353"/>
      <c r="B6" s="513" t="s">
        <v>13</v>
      </c>
      <c r="C6" s="515"/>
      <c r="D6" s="354"/>
      <c r="E6" s="354"/>
      <c r="F6" s="354"/>
      <c r="G6" s="354"/>
      <c r="H6" s="354"/>
      <c r="I6" s="354"/>
      <c r="J6" s="354"/>
      <c r="K6" s="354"/>
      <c r="L6" s="354"/>
      <c r="M6" s="368"/>
      <c r="N6" s="368"/>
      <c r="O6" s="368"/>
      <c r="P6" s="368"/>
      <c r="Q6" s="368"/>
      <c r="R6" s="406"/>
    </row>
    <row r="7" spans="1:18" ht="19.5" customHeight="1">
      <c r="A7" s="499">
        <v>1</v>
      </c>
      <c r="B7" s="498" t="s">
        <v>14</v>
      </c>
      <c r="C7" s="408">
        <f ca="1">+'Realization of Outlay 11th Plan'!D7</f>
        <v>1082.9847</v>
      </c>
      <c r="D7" s="408">
        <f ca="1">+'Realization of Outlay 11th Plan'!E7</f>
        <v>1739.2817000000002</v>
      </c>
      <c r="E7" s="408">
        <f ca="1">+'Realization of Outlay 11th Plan'!F7</f>
        <v>2016.01</v>
      </c>
      <c r="F7" s="408">
        <f ca="1">+'Realization of Outlay 11th Plan'!G7</f>
        <v>2555.12</v>
      </c>
      <c r="G7" s="408">
        <f ca="1">+'Realization of Outlay 11th Plan'!I7</f>
        <v>3200</v>
      </c>
      <c r="H7" s="409">
        <v>4810</v>
      </c>
      <c r="I7" s="409">
        <v>5687</v>
      </c>
      <c r="J7" s="409">
        <v>7085</v>
      </c>
      <c r="K7" s="409">
        <v>8233</v>
      </c>
      <c r="L7" s="409">
        <v>9357</v>
      </c>
      <c r="M7" s="385">
        <f>+C7/H7*100</f>
        <v>22.515274428274427</v>
      </c>
      <c r="N7" s="385">
        <f>+D7/I7*100</f>
        <v>30.583465799191139</v>
      </c>
      <c r="O7" s="385">
        <f>+E7/J7*100</f>
        <v>28.454622441778405</v>
      </c>
      <c r="P7" s="385">
        <f>+F7/K7*100</f>
        <v>31.035102635734241</v>
      </c>
      <c r="Q7" s="385">
        <f>+G7/L7*100</f>
        <v>34.198995404509994</v>
      </c>
      <c r="R7" s="405">
        <f>+AVERAGE(M7:Q7)</f>
        <v>29.357492141897637</v>
      </c>
    </row>
    <row r="8" spans="1:18" ht="20.100000000000001" customHeight="1">
      <c r="A8" s="499">
        <v>2</v>
      </c>
      <c r="B8" s="498" t="s">
        <v>15</v>
      </c>
      <c r="C8" s="408">
        <f ca="1">+'Realization of Outlay 11th Plan'!D8</f>
        <v>2669.2779999999998</v>
      </c>
      <c r="D8" s="408">
        <f ca="1">+'Realization of Outlay 11th Plan'!E8</f>
        <v>3593.7552000000001</v>
      </c>
      <c r="E8" s="408">
        <f ca="1">+'Realization of Outlay 11th Plan'!F8</f>
        <v>5023.0895</v>
      </c>
      <c r="F8" s="408">
        <f ca="1">+'Realization of Outlay 11th Plan'!G8</f>
        <v>6883.09</v>
      </c>
      <c r="G8" s="408">
        <f ca="1">+'Realization of Outlay 11th Plan'!I8</f>
        <v>9000</v>
      </c>
      <c r="H8" s="409">
        <v>71076</v>
      </c>
      <c r="I8" s="409">
        <v>81074</v>
      </c>
      <c r="J8" s="409">
        <v>92737</v>
      </c>
      <c r="K8" s="409">
        <v>104015</v>
      </c>
      <c r="L8" s="409">
        <v>115408</v>
      </c>
      <c r="M8" s="385">
        <f t="shared" ref="M8:M18" si="0">+C8/H8*100</f>
        <v>3.7555264786988571</v>
      </c>
      <c r="N8" s="385">
        <f t="shared" ref="N8:N18" si="1">+D8/I8*100</f>
        <v>4.4326852011742357</v>
      </c>
      <c r="O8" s="385">
        <f t="shared" ref="O8:O18" si="2">+E8/J8*100</f>
        <v>5.416489103594035</v>
      </c>
      <c r="P8" s="385">
        <f t="shared" ref="P8:P18" si="3">+F8/K8*100</f>
        <v>6.6174013363457203</v>
      </c>
      <c r="Q8" s="385">
        <f t="shared" ref="Q8:Q18" si="4">+G8/L8*100</f>
        <v>7.7984195203105511</v>
      </c>
      <c r="R8" s="405">
        <f t="shared" ref="R8:R45" si="5">+AVERAGE(M8:Q8)</f>
        <v>5.6041043280246798</v>
      </c>
    </row>
    <row r="9" spans="1:18" ht="20.100000000000001" customHeight="1">
      <c r="A9" s="499">
        <v>3</v>
      </c>
      <c r="B9" s="498" t="s">
        <v>16</v>
      </c>
      <c r="C9" s="408">
        <f ca="1">+'Realization of Outlay 11th Plan'!D9</f>
        <v>2098.7462</v>
      </c>
      <c r="D9" s="408">
        <f ca="1">+'Realization of Outlay 11th Plan'!E9</f>
        <v>2285.9520000000002</v>
      </c>
      <c r="E9" s="408">
        <f ca="1">+'Realization of Outlay 11th Plan'!F9</f>
        <v>2807.67</v>
      </c>
      <c r="F9" s="408">
        <f ca="1">+'Realization of Outlay 11th Plan'!G9</f>
        <v>3104.9</v>
      </c>
      <c r="G9" s="408">
        <f ca="1">+'Realization of Outlay 11th Plan'!I9</f>
        <v>3306.85</v>
      </c>
      <c r="H9" s="409">
        <v>33963</v>
      </c>
      <c r="I9" s="409">
        <v>41483</v>
      </c>
      <c r="J9" s="468">
        <v>48189</v>
      </c>
      <c r="K9" s="468">
        <v>56119</v>
      </c>
      <c r="L9" s="468">
        <v>63331</v>
      </c>
      <c r="M9" s="385">
        <f t="shared" si="0"/>
        <v>6.1795076995553986</v>
      </c>
      <c r="N9" s="385">
        <f t="shared" si="1"/>
        <v>5.5105754164356489</v>
      </c>
      <c r="O9" s="385">
        <f t="shared" si="2"/>
        <v>5.8263711635435467</v>
      </c>
      <c r="P9" s="385">
        <f t="shared" si="3"/>
        <v>5.5327072827384667</v>
      </c>
      <c r="Q9" s="385">
        <f t="shared" si="4"/>
        <v>5.2215344775860162</v>
      </c>
      <c r="R9" s="405">
        <f t="shared" si="5"/>
        <v>5.6541392079718147</v>
      </c>
    </row>
    <row r="10" spans="1:18" ht="20.100000000000001" customHeight="1">
      <c r="A10" s="499">
        <v>4</v>
      </c>
      <c r="B10" s="498" t="s">
        <v>60</v>
      </c>
      <c r="C10" s="408">
        <f ca="1">+'Realization of Outlay 11th Plan'!D10</f>
        <v>4403.3104999999996</v>
      </c>
      <c r="D10" s="408">
        <f ca="1">+'Realization of Outlay 11th Plan'!E10</f>
        <v>4826.7001</v>
      </c>
      <c r="E10" s="408">
        <f ca="1">+'Realization of Outlay 11th Plan'!F10</f>
        <v>5279.1410999999998</v>
      </c>
      <c r="F10" s="408">
        <f ca="1">+'Realization of Outlay 11th Plan'!G10</f>
        <v>5768.05</v>
      </c>
      <c r="G10" s="408">
        <f ca="1">+'Realization of Outlay 11th Plan'!I10</f>
        <v>6600</v>
      </c>
      <c r="H10" s="409">
        <v>37099</v>
      </c>
      <c r="I10" s="409">
        <v>42315</v>
      </c>
      <c r="J10" s="468">
        <v>48382</v>
      </c>
      <c r="K10" s="468">
        <v>55446</v>
      </c>
      <c r="L10" s="468">
        <v>63589</v>
      </c>
      <c r="M10" s="385">
        <f t="shared" si="0"/>
        <v>11.869081376856517</v>
      </c>
      <c r="N10" s="385">
        <f t="shared" si="1"/>
        <v>11.406593642916224</v>
      </c>
      <c r="O10" s="385">
        <f t="shared" si="2"/>
        <v>10.911374271423256</v>
      </c>
      <c r="P10" s="385">
        <f t="shared" si="3"/>
        <v>10.403004725318327</v>
      </c>
      <c r="Q10" s="385">
        <f t="shared" si="4"/>
        <v>10.379153627199674</v>
      </c>
      <c r="R10" s="405">
        <f t="shared" si="5"/>
        <v>10.9938415287428</v>
      </c>
    </row>
    <row r="11" spans="1:18" ht="20.100000000000001" customHeight="1">
      <c r="A11" s="499">
        <v>5</v>
      </c>
      <c r="B11" s="498" t="s">
        <v>18</v>
      </c>
      <c r="C11" s="408">
        <f ca="1">+'Realization of Outlay 11th Plan'!D11</f>
        <v>1336.5032000000001</v>
      </c>
      <c r="D11" s="408">
        <f ca="1">+'Realization of Outlay 11th Plan'!E11</f>
        <v>1521.5023000000001</v>
      </c>
      <c r="E11" s="408">
        <f ca="1">+'Realization of Outlay 11th Plan'!F11</f>
        <v>1784.4138</v>
      </c>
      <c r="F11" s="408">
        <f ca="1">+'Realization of Outlay 11th Plan'!G11</f>
        <v>1680.11</v>
      </c>
      <c r="G11" s="408">
        <f ca="1">+'Realization of Outlay 11th Plan'!I11</f>
        <v>2754.02</v>
      </c>
      <c r="H11" s="409">
        <v>6783</v>
      </c>
      <c r="I11" s="409">
        <v>7399</v>
      </c>
      <c r="J11" s="409">
        <v>8314</v>
      </c>
      <c r="K11" s="409">
        <v>9198</v>
      </c>
      <c r="L11" s="409">
        <v>10188</v>
      </c>
      <c r="M11" s="385">
        <f t="shared" si="0"/>
        <v>19.70371811882648</v>
      </c>
      <c r="N11" s="385">
        <f t="shared" si="1"/>
        <v>20.563620759562102</v>
      </c>
      <c r="O11" s="385">
        <f t="shared" si="2"/>
        <v>21.462759201347126</v>
      </c>
      <c r="P11" s="385">
        <f t="shared" si="3"/>
        <v>18.266036094803219</v>
      </c>
      <c r="Q11" s="385">
        <f t="shared" si="4"/>
        <v>27.031998429524933</v>
      </c>
      <c r="R11" s="405">
        <f t="shared" si="5"/>
        <v>21.405626520812771</v>
      </c>
    </row>
    <row r="12" spans="1:18" ht="20.100000000000001" customHeight="1">
      <c r="A12" s="499">
        <v>6</v>
      </c>
      <c r="B12" s="498" t="s">
        <v>19</v>
      </c>
      <c r="C12" s="408">
        <f ca="1">+'Realization of Outlay 11th Plan'!D12</f>
        <v>984.06539999999995</v>
      </c>
      <c r="D12" s="408">
        <f ca="1">+'Realization of Outlay 11th Plan'!E12</f>
        <v>1386.9577999999999</v>
      </c>
      <c r="E12" s="408">
        <f ca="1">+'Realization of Outlay 11th Plan'!F12</f>
        <v>1417.8633</v>
      </c>
      <c r="F12" s="408">
        <f ca="1">+'Realization of Outlay 11th Plan'!G12</f>
        <v>2109.19</v>
      </c>
      <c r="G12" s="408">
        <f ca="1">+'Realization of Outlay 11th Plan'!I12</f>
        <v>2728.18</v>
      </c>
      <c r="H12" s="409">
        <v>9735</v>
      </c>
      <c r="I12" s="409">
        <v>11617</v>
      </c>
      <c r="J12" s="468">
        <v>12709</v>
      </c>
      <c r="K12" s="468">
        <v>14086</v>
      </c>
      <c r="L12" s="468">
        <v>15895</v>
      </c>
      <c r="M12" s="385">
        <f t="shared" si="0"/>
        <v>10.108530046224962</v>
      </c>
      <c r="N12" s="385">
        <f t="shared" si="1"/>
        <v>11.939035895670138</v>
      </c>
      <c r="O12" s="385">
        <f t="shared" si="2"/>
        <v>11.156371862459673</v>
      </c>
      <c r="P12" s="385">
        <f t="shared" si="3"/>
        <v>14.973661791850065</v>
      </c>
      <c r="Q12" s="385">
        <f t="shared" si="4"/>
        <v>17.163762189367723</v>
      </c>
      <c r="R12" s="405">
        <f t="shared" si="5"/>
        <v>13.068272357114513</v>
      </c>
    </row>
    <row r="13" spans="1:18" ht="20.100000000000001" customHeight="1">
      <c r="A13" s="499">
        <v>7</v>
      </c>
      <c r="B13" s="498" t="s">
        <v>20</v>
      </c>
      <c r="C13" s="408">
        <f ca="1">+'Realization of Outlay 11th Plan'!D13</f>
        <v>767.33350000000007</v>
      </c>
      <c r="D13" s="408">
        <f ca="1">+'Realization of Outlay 11th Plan'!E13</f>
        <v>822.52809999999999</v>
      </c>
      <c r="E13" s="408">
        <f ca="1">+'Realization of Outlay 11th Plan'!F13</f>
        <v>1067.2208000000001</v>
      </c>
      <c r="F13" s="408">
        <f ca="1">+'Realization of Outlay 11th Plan'!G13</f>
        <v>1110.69</v>
      </c>
      <c r="G13" s="408">
        <f ca="1">+'Realization of Outlay 11th Plan'!I13</f>
        <v>1624.94</v>
      </c>
      <c r="H13" s="409">
        <v>3816</v>
      </c>
      <c r="I13" s="409">
        <v>4577</v>
      </c>
      <c r="J13" s="468">
        <v>5260</v>
      </c>
      <c r="K13" s="409">
        <v>6058</v>
      </c>
      <c r="L13" s="409">
        <v>6666.8290000000006</v>
      </c>
      <c r="M13" s="385">
        <f t="shared" si="0"/>
        <v>20.108320230607969</v>
      </c>
      <c r="N13" s="385">
        <f t="shared" si="1"/>
        <v>17.970900152938608</v>
      </c>
      <c r="O13" s="385">
        <f t="shared" si="2"/>
        <v>20.289368821292779</v>
      </c>
      <c r="P13" s="385">
        <f t="shared" si="3"/>
        <v>18.334268735556289</v>
      </c>
      <c r="Q13" s="385">
        <f t="shared" si="4"/>
        <v>24.373506505116598</v>
      </c>
      <c r="R13" s="405">
        <f t="shared" si="5"/>
        <v>20.215272889102447</v>
      </c>
    </row>
    <row r="14" spans="1:18" ht="20.100000000000001" customHeight="1">
      <c r="A14" s="499">
        <v>8</v>
      </c>
      <c r="B14" s="498" t="s">
        <v>21</v>
      </c>
      <c r="C14" s="408">
        <f ca="1">+'Realization of Outlay 11th Plan'!D14</f>
        <v>846.95309999999995</v>
      </c>
      <c r="D14" s="408">
        <f ca="1">+'Realization of Outlay 11th Plan'!E14</f>
        <v>1097.4150999999999</v>
      </c>
      <c r="E14" s="408">
        <f ca="1">+'Realization of Outlay 11th Plan'!F14</f>
        <v>1428.4957400000003</v>
      </c>
      <c r="F14" s="408">
        <f ca="1">+'Realization of Outlay 11th Plan'!G14</f>
        <v>1356.11</v>
      </c>
      <c r="G14" s="408">
        <f ca="1">+'Realization of Outlay 11th Plan'!I14</f>
        <v>1674.36</v>
      </c>
      <c r="H14" s="409">
        <v>8075</v>
      </c>
      <c r="I14" s="409">
        <v>9436</v>
      </c>
      <c r="J14" s="468">
        <v>10507</v>
      </c>
      <c r="K14" s="468">
        <v>11190</v>
      </c>
      <c r="L14" s="468">
        <v>12134</v>
      </c>
      <c r="M14" s="385">
        <f t="shared" si="0"/>
        <v>10.488583281733746</v>
      </c>
      <c r="N14" s="385">
        <f t="shared" si="1"/>
        <v>11.630087961000424</v>
      </c>
      <c r="O14" s="385">
        <f t="shared" si="2"/>
        <v>13.595657561625584</v>
      </c>
      <c r="P14" s="385">
        <f t="shared" si="3"/>
        <v>12.118945487042001</v>
      </c>
      <c r="Q14" s="385">
        <f t="shared" si="4"/>
        <v>13.798912147684192</v>
      </c>
      <c r="R14" s="405">
        <f t="shared" si="5"/>
        <v>12.326437287817189</v>
      </c>
    </row>
    <row r="15" spans="1:18" ht="20.100000000000001" customHeight="1">
      <c r="A15" s="499">
        <v>9</v>
      </c>
      <c r="B15" s="498" t="s">
        <v>22</v>
      </c>
      <c r="C15" s="408">
        <f ca="1">+'Realization of Outlay 11th Plan'!D15</f>
        <v>607.04239999999993</v>
      </c>
      <c r="D15" s="408">
        <f ca="1">+'Realization of Outlay 11th Plan'!E15</f>
        <v>1140.2485999999999</v>
      </c>
      <c r="E15" s="408">
        <f ca="1">+'Realization of Outlay 11th Plan'!F15</f>
        <v>1019.2557</v>
      </c>
      <c r="F15" s="408">
        <f ca="1">+'Realization of Outlay 11th Plan'!G15</f>
        <v>841.65</v>
      </c>
      <c r="G15" s="408">
        <f ca="1">+'Realization of Outlay 11th Plan'!I15</f>
        <v>1400</v>
      </c>
      <c r="H15" s="409">
        <v>2506</v>
      </c>
      <c r="I15" s="409">
        <v>3229</v>
      </c>
      <c r="J15" s="469">
        <v>6133</v>
      </c>
      <c r="K15" s="469">
        <v>7145</v>
      </c>
      <c r="L15" s="469">
        <v>8400</v>
      </c>
      <c r="M15" s="385">
        <f t="shared" si="0"/>
        <v>24.223559457302471</v>
      </c>
      <c r="N15" s="385">
        <f t="shared" si="1"/>
        <v>35.312746980489315</v>
      </c>
      <c r="O15" s="385">
        <f t="shared" si="2"/>
        <v>16.619202674058371</v>
      </c>
      <c r="P15" s="385">
        <f t="shared" si="3"/>
        <v>11.779566130160951</v>
      </c>
      <c r="Q15" s="385">
        <f t="shared" si="4"/>
        <v>16.666666666666664</v>
      </c>
      <c r="R15" s="405">
        <f t="shared" si="5"/>
        <v>20.920348381735558</v>
      </c>
    </row>
    <row r="16" spans="1:18" ht="20.100000000000001" customHeight="1">
      <c r="A16" s="499">
        <v>10</v>
      </c>
      <c r="B16" s="498" t="s">
        <v>23</v>
      </c>
      <c r="C16" s="408">
        <f ca="1">+'Realization of Outlay 11th Plan'!D16</f>
        <v>1067.1507000000001</v>
      </c>
      <c r="D16" s="408">
        <f ca="1">+'Realization of Outlay 11th Plan'!E16</f>
        <v>1431.1577</v>
      </c>
      <c r="E16" s="408">
        <f ca="1">+'Realization of Outlay 11th Plan'!F16</f>
        <v>1735.5678</v>
      </c>
      <c r="F16" s="408">
        <f ca="1">+'Realization of Outlay 11th Plan'!G16</f>
        <v>1441.04</v>
      </c>
      <c r="G16" s="408">
        <f ca="1">+'Realization of Outlay 11th Plan'!I16</f>
        <v>1643.05</v>
      </c>
      <c r="H16" s="409">
        <v>11797</v>
      </c>
      <c r="I16" s="409">
        <v>13573</v>
      </c>
      <c r="J16" s="409">
        <v>15348</v>
      </c>
      <c r="K16" s="409">
        <v>17387</v>
      </c>
      <c r="L16" s="409">
        <v>19731</v>
      </c>
      <c r="M16" s="385">
        <f t="shared" si="0"/>
        <v>9.0459498177502766</v>
      </c>
      <c r="N16" s="385">
        <f t="shared" si="1"/>
        <v>10.544151624548736</v>
      </c>
      <c r="O16" s="385">
        <f t="shared" si="2"/>
        <v>11.308103987490227</v>
      </c>
      <c r="P16" s="385">
        <f t="shared" si="3"/>
        <v>8.288031287743717</v>
      </c>
      <c r="Q16" s="385">
        <f t="shared" si="4"/>
        <v>8.3272515331204708</v>
      </c>
      <c r="R16" s="405">
        <f t="shared" si="5"/>
        <v>9.5026976501306848</v>
      </c>
    </row>
    <row r="17" spans="1:18" ht="20.100000000000001" customHeight="1">
      <c r="A17" s="499">
        <v>11</v>
      </c>
      <c r="B17" s="498" t="s">
        <v>24</v>
      </c>
      <c r="C17" s="408">
        <f ca="1">+'Realization of Outlay 11th Plan'!D17</f>
        <v>3944.8821999999996</v>
      </c>
      <c r="D17" s="408">
        <f ca="1">+'Realization of Outlay 11th Plan'!E17</f>
        <v>3653.5678000000003</v>
      </c>
      <c r="E17" s="408">
        <f ca="1">+'Realization of Outlay 11th Plan'!F17</f>
        <v>3514.0871000000002</v>
      </c>
      <c r="F17" s="408">
        <f ca="1">+'Realization of Outlay 11th Plan'!G17</f>
        <v>4475.1000000000004</v>
      </c>
      <c r="G17" s="408">
        <f ca="1">+'Realization of Outlay 11th Plan'!I17</f>
        <v>7800</v>
      </c>
      <c r="H17" s="409">
        <v>45856</v>
      </c>
      <c r="I17" s="468">
        <v>56025</v>
      </c>
      <c r="J17" s="468">
        <v>70855</v>
      </c>
      <c r="K17" s="468">
        <v>82460</v>
      </c>
      <c r="L17" s="468">
        <v>95201</v>
      </c>
      <c r="M17" s="385">
        <f t="shared" si="0"/>
        <v>8.6027612526168866</v>
      </c>
      <c r="N17" s="385">
        <f t="shared" si="1"/>
        <v>6.5213169120928161</v>
      </c>
      <c r="O17" s="385">
        <f t="shared" si="2"/>
        <v>4.959547103239009</v>
      </c>
      <c r="P17" s="385">
        <f t="shared" si="3"/>
        <v>5.4269949066213927</v>
      </c>
      <c r="Q17" s="385">
        <f t="shared" si="4"/>
        <v>8.1931912479910931</v>
      </c>
      <c r="R17" s="405">
        <f t="shared" si="5"/>
        <v>6.7407622845122388</v>
      </c>
    </row>
    <row r="18" spans="1:18" ht="22.5" customHeight="1">
      <c r="A18" s="353"/>
      <c r="B18" s="407" t="s">
        <v>260</v>
      </c>
      <c r="C18" s="410">
        <f t="shared" ref="C18:L18" si="6">SUM(C7:C17)</f>
        <v>19808.249899999999</v>
      </c>
      <c r="D18" s="410">
        <f t="shared" si="6"/>
        <v>23499.0664</v>
      </c>
      <c r="E18" s="410">
        <f t="shared" si="6"/>
        <v>27092.814839999999</v>
      </c>
      <c r="F18" s="410">
        <f t="shared" si="6"/>
        <v>31325.050000000003</v>
      </c>
      <c r="G18" s="410">
        <f t="shared" si="6"/>
        <v>41731.4</v>
      </c>
      <c r="H18" s="410">
        <f t="shared" si="6"/>
        <v>235516</v>
      </c>
      <c r="I18" s="410">
        <f t="shared" si="6"/>
        <v>276415</v>
      </c>
      <c r="J18" s="410">
        <f t="shared" si="6"/>
        <v>325519</v>
      </c>
      <c r="K18" s="410">
        <f t="shared" si="6"/>
        <v>371337</v>
      </c>
      <c r="L18" s="410">
        <f t="shared" si="6"/>
        <v>419900.82900000003</v>
      </c>
      <c r="M18" s="385">
        <f t="shared" si="0"/>
        <v>8.4105750352417665</v>
      </c>
      <c r="N18" s="385">
        <f t="shared" si="1"/>
        <v>8.5013716332326386</v>
      </c>
      <c r="O18" s="385">
        <f t="shared" si="2"/>
        <v>8.3229595937564316</v>
      </c>
      <c r="P18" s="385">
        <f t="shared" si="3"/>
        <v>8.4357470437904123</v>
      </c>
      <c r="Q18" s="385">
        <f t="shared" si="4"/>
        <v>9.9383942869043498</v>
      </c>
      <c r="R18" s="405">
        <f t="shared" si="5"/>
        <v>8.7218095185851201</v>
      </c>
    </row>
    <row r="19" spans="1:18" ht="22.5" customHeight="1">
      <c r="A19" s="353"/>
      <c r="B19" s="517" t="s">
        <v>261</v>
      </c>
      <c r="C19" s="518"/>
      <c r="D19" s="519"/>
      <c r="E19" s="410"/>
      <c r="F19" s="410"/>
      <c r="G19" s="410"/>
      <c r="H19" s="410"/>
      <c r="I19" s="410"/>
      <c r="J19" s="410"/>
      <c r="K19" s="410"/>
      <c r="L19" s="410"/>
      <c r="M19" s="385"/>
      <c r="N19" s="385"/>
      <c r="O19" s="385"/>
      <c r="P19" s="385"/>
      <c r="Q19" s="385"/>
      <c r="R19" s="405"/>
    </row>
    <row r="20" spans="1:18" ht="20.100000000000001" customHeight="1">
      <c r="A20" s="499">
        <v>12</v>
      </c>
      <c r="B20" s="498" t="s">
        <v>244</v>
      </c>
      <c r="C20" s="408">
        <f ca="1">+'Realization of Outlay 11th Plan'!D20</f>
        <v>27170.795999999998</v>
      </c>
      <c r="D20" s="408">
        <f ca="1">+'Realization of Outlay 11th Plan'!E20</f>
        <v>30617.676299999999</v>
      </c>
      <c r="E20" s="408">
        <f ca="1">+'Realization of Outlay 11th Plan'!F20</f>
        <v>29390.9689</v>
      </c>
      <c r="F20" s="408">
        <f ca="1">+'Realization of Outlay 11th Plan'!G20</f>
        <v>32248.71</v>
      </c>
      <c r="G20" s="408">
        <f ca="1">+'Realization of Outlay 11th Plan'!I20</f>
        <v>43000</v>
      </c>
      <c r="H20" s="409">
        <v>364813</v>
      </c>
      <c r="I20" s="409">
        <v>426765</v>
      </c>
      <c r="J20" s="409">
        <v>490411</v>
      </c>
      <c r="K20" s="409">
        <v>588963</v>
      </c>
      <c r="L20" s="468">
        <v>675798</v>
      </c>
      <c r="M20" s="385">
        <f t="shared" ref="M20:M45" si="7">+C20/H20*100</f>
        <v>7.4478694564064325</v>
      </c>
      <c r="N20" s="385">
        <f t="shared" ref="N20:N45" si="8">+D20/I20*100</f>
        <v>7.1743644160134972</v>
      </c>
      <c r="O20" s="385">
        <f t="shared" ref="O20:O45" si="9">+E20/J20*100</f>
        <v>5.9931300276706683</v>
      </c>
      <c r="P20" s="385">
        <f t="shared" ref="P20:P45" si="10">+F20/K20*100</f>
        <v>5.4755069503517193</v>
      </c>
      <c r="Q20" s="385">
        <f t="shared" ref="Q20:Q45" si="11">+G20/L20*100</f>
        <v>6.3628480699854091</v>
      </c>
      <c r="R20" s="405">
        <f t="shared" si="5"/>
        <v>6.4907437840855451</v>
      </c>
    </row>
    <row r="21" spans="1:18" ht="20.100000000000001" customHeight="1">
      <c r="A21" s="499">
        <v>13</v>
      </c>
      <c r="B21" s="498" t="s">
        <v>28</v>
      </c>
      <c r="C21" s="408">
        <f ca="1">+'Realization of Outlay 11th Plan'!D21</f>
        <v>9652.3041000000012</v>
      </c>
      <c r="D21" s="408">
        <f ca="1">+'Realization of Outlay 11th Plan'!E21</f>
        <v>12510.776899999999</v>
      </c>
      <c r="E21" s="408">
        <f ca="1">+'Realization of Outlay 11th Plan'!F21</f>
        <v>14183.51</v>
      </c>
      <c r="F21" s="408">
        <f ca="1">+'Realization of Outlay 11th Plan'!G21</f>
        <v>18717.580000000002</v>
      </c>
      <c r="G21" s="408">
        <f ca="1">+'Realization of Outlay 11th Plan'!I21</f>
        <v>21390</v>
      </c>
      <c r="H21" s="468">
        <v>113680</v>
      </c>
      <c r="I21" s="468">
        <v>142279</v>
      </c>
      <c r="J21" s="468">
        <v>163800</v>
      </c>
      <c r="K21" s="468">
        <v>201856</v>
      </c>
      <c r="L21" s="468">
        <v>252694</v>
      </c>
      <c r="M21" s="385">
        <f t="shared" si="7"/>
        <v>8.4907671534130902</v>
      </c>
      <c r="N21" s="385">
        <f t="shared" si="8"/>
        <v>8.7931296255947817</v>
      </c>
      <c r="O21" s="385">
        <f t="shared" si="9"/>
        <v>8.6590415140415136</v>
      </c>
      <c r="P21" s="385">
        <f t="shared" si="10"/>
        <v>9.2727389822447694</v>
      </c>
      <c r="Q21" s="385">
        <f t="shared" si="11"/>
        <v>8.4647834930785848</v>
      </c>
      <c r="R21" s="405">
        <f t="shared" si="5"/>
        <v>8.7360921536745479</v>
      </c>
    </row>
    <row r="22" spans="1:18" ht="15" customHeight="1">
      <c r="A22" s="499">
        <v>14</v>
      </c>
      <c r="B22" s="498" t="s">
        <v>245</v>
      </c>
      <c r="C22" s="408">
        <f ca="1">+'Realization of Outlay 11th Plan'!D22</f>
        <v>6196.1103000000003</v>
      </c>
      <c r="D22" s="408">
        <f ca="1">+'Realization of Outlay 11th Plan'!E22</f>
        <v>8137.3701000000001</v>
      </c>
      <c r="E22" s="408">
        <f ca="1">+'Realization of Outlay 11th Plan'!F22</f>
        <v>10281.4349</v>
      </c>
      <c r="F22" s="408">
        <f ca="1">+'Realization of Outlay 11th Plan'!G22</f>
        <v>10081</v>
      </c>
      <c r="G22" s="408">
        <f ca="1">+'Realization of Outlay 11th Plan'!I22</f>
        <v>16710</v>
      </c>
      <c r="H22" s="409">
        <v>80255</v>
      </c>
      <c r="I22" s="409">
        <v>96972</v>
      </c>
      <c r="J22" s="409">
        <v>99262</v>
      </c>
      <c r="K22" s="409">
        <v>117567</v>
      </c>
      <c r="L22" s="409">
        <v>135536</v>
      </c>
      <c r="M22" s="385">
        <f t="shared" si="7"/>
        <v>7.7205286898012595</v>
      </c>
      <c r="N22" s="385">
        <f t="shared" si="8"/>
        <v>8.3914636183640638</v>
      </c>
      <c r="O22" s="385">
        <f t="shared" si="9"/>
        <v>10.35787602506498</v>
      </c>
      <c r="P22" s="385">
        <f t="shared" si="10"/>
        <v>8.5746850731923079</v>
      </c>
      <c r="Q22" s="385">
        <f t="shared" si="11"/>
        <v>12.328827765316962</v>
      </c>
      <c r="R22" s="405">
        <f t="shared" si="5"/>
        <v>9.4746762343479141</v>
      </c>
    </row>
    <row r="23" spans="1:18" ht="15.75" customHeight="1">
      <c r="A23" s="499">
        <v>15</v>
      </c>
      <c r="B23" s="498" t="s">
        <v>30</v>
      </c>
      <c r="C23" s="408">
        <f ca="1">+'Realization of Outlay 11th Plan'!D23</f>
        <v>1224.4957999999999</v>
      </c>
      <c r="D23" s="408">
        <f ca="1">+'Realization of Outlay 11th Plan'!E23</f>
        <v>1574.4989</v>
      </c>
      <c r="E23" s="408">
        <f ca="1">+'Realization of Outlay 11th Plan'!F23</f>
        <v>1965.5699</v>
      </c>
      <c r="F23" s="408">
        <f ca="1">+'Realization of Outlay 11th Plan'!G23</f>
        <v>2107.4</v>
      </c>
      <c r="G23" s="408">
        <f ca="1">+'Realization of Outlay 11th Plan'!I23</f>
        <v>3320</v>
      </c>
      <c r="H23" s="409">
        <v>19565</v>
      </c>
      <c r="I23" s="409">
        <v>25414</v>
      </c>
      <c r="J23" s="468">
        <v>29126</v>
      </c>
      <c r="K23" s="468">
        <v>32563</v>
      </c>
      <c r="L23" s="409">
        <v>44460</v>
      </c>
      <c r="M23" s="385">
        <f t="shared" si="7"/>
        <v>6.25860362892921</v>
      </c>
      <c r="N23" s="385">
        <f t="shared" si="8"/>
        <v>6.195399779649013</v>
      </c>
      <c r="O23" s="385">
        <f t="shared" si="9"/>
        <v>6.7485061457117359</v>
      </c>
      <c r="P23" s="385">
        <f t="shared" si="10"/>
        <v>6.4717624297515579</v>
      </c>
      <c r="Q23" s="385">
        <f t="shared" si="11"/>
        <v>7.4673864147548352</v>
      </c>
      <c r="R23" s="405">
        <f t="shared" si="5"/>
        <v>6.6283316797592704</v>
      </c>
    </row>
    <row r="24" spans="1:18" ht="14.25" customHeight="1">
      <c r="A24" s="499">
        <v>16</v>
      </c>
      <c r="B24" s="498" t="s">
        <v>31</v>
      </c>
      <c r="C24" s="408">
        <f ca="1">+'Realization of Outlay 11th Plan'!D24</f>
        <v>15651.473</v>
      </c>
      <c r="D24" s="408">
        <f ca="1">+'Realization of Outlay 11th Plan'!E24</f>
        <v>21763.68</v>
      </c>
      <c r="E24" s="408">
        <f ca="1">+'Realization of Outlay 11th Plan'!F24</f>
        <v>22633.825000000001</v>
      </c>
      <c r="F24" s="408">
        <f ca="1">+'Realization of Outlay 11th Plan'!G24</f>
        <v>30097.05</v>
      </c>
      <c r="G24" s="408">
        <f ca="1">+'Realization of Outlay 11th Plan'!I24</f>
        <v>38000</v>
      </c>
      <c r="H24" s="409">
        <v>329285</v>
      </c>
      <c r="I24" s="409">
        <v>367912</v>
      </c>
      <c r="J24" s="409">
        <v>427555</v>
      </c>
      <c r="K24" s="409">
        <v>513173</v>
      </c>
      <c r="L24" s="409">
        <v>586300.15250000008</v>
      </c>
      <c r="M24" s="385">
        <f t="shared" si="7"/>
        <v>4.7531691391955295</v>
      </c>
      <c r="N24" s="385">
        <f t="shared" si="8"/>
        <v>5.9154580443149456</v>
      </c>
      <c r="O24" s="385">
        <f t="shared" si="9"/>
        <v>5.2937809170749963</v>
      </c>
      <c r="P24" s="385">
        <f t="shared" si="10"/>
        <v>5.8648935154421604</v>
      </c>
      <c r="Q24" s="385">
        <f t="shared" si="11"/>
        <v>6.481321868665213</v>
      </c>
      <c r="R24" s="405">
        <f t="shared" si="5"/>
        <v>5.6617246969385686</v>
      </c>
    </row>
    <row r="25" spans="1:18" ht="20.100000000000001" customHeight="1">
      <c r="A25" s="499">
        <v>17</v>
      </c>
      <c r="B25" s="498" t="s">
        <v>32</v>
      </c>
      <c r="C25" s="408">
        <f ca="1">+'Realization of Outlay 11th Plan'!D25</f>
        <v>5751.1848</v>
      </c>
      <c r="D25" s="408">
        <f ca="1">+'Realization of Outlay 11th Plan'!E25</f>
        <v>7108.2808999999997</v>
      </c>
      <c r="E25" s="408">
        <f ca="1">+'Realization of Outlay 11th Plan'!F25</f>
        <v>9624.4393</v>
      </c>
      <c r="F25" s="408">
        <f ca="1">+'Realization of Outlay 11th Plan'!G25</f>
        <v>15497.17</v>
      </c>
      <c r="G25" s="408">
        <f ca="1">+'Realization of Outlay 11th Plan'!I25</f>
        <v>20330</v>
      </c>
      <c r="H25" s="470">
        <v>151593</v>
      </c>
      <c r="I25" s="470">
        <v>182481</v>
      </c>
      <c r="J25" s="470">
        <v>223567</v>
      </c>
      <c r="K25" s="470">
        <v>263975</v>
      </c>
      <c r="L25" s="470">
        <v>308943</v>
      </c>
      <c r="M25" s="385">
        <f t="shared" si="7"/>
        <v>3.7938326967604046</v>
      </c>
      <c r="N25" s="385">
        <f t="shared" si="8"/>
        <v>3.8953539820584062</v>
      </c>
      <c r="O25" s="385">
        <f t="shared" si="9"/>
        <v>4.3049463024507197</v>
      </c>
      <c r="P25" s="385">
        <f t="shared" si="10"/>
        <v>5.8706960886447579</v>
      </c>
      <c r="Q25" s="385">
        <f t="shared" si="11"/>
        <v>6.58050190488213</v>
      </c>
      <c r="R25" s="405">
        <f t="shared" si="5"/>
        <v>4.8890661949592831</v>
      </c>
    </row>
    <row r="26" spans="1:18" ht="20.100000000000001" customHeight="1">
      <c r="A26" s="499">
        <v>18</v>
      </c>
      <c r="B26" s="498" t="s">
        <v>33</v>
      </c>
      <c r="C26" s="408">
        <f ca="1">+'Realization of Outlay 11th Plan'!D26</f>
        <v>5706.35</v>
      </c>
      <c r="D26" s="408">
        <f ca="1">+'Realization of Outlay 11th Plan'!E26</f>
        <v>6866.1660999999995</v>
      </c>
      <c r="E26" s="408">
        <f ca="1">+'Realization of Outlay 11th Plan'!F26</f>
        <v>6528.88</v>
      </c>
      <c r="F26" s="408">
        <f ca="1">+'Realization of Outlay 11th Plan'!G26</f>
        <v>8267.59</v>
      </c>
      <c r="G26" s="408">
        <f ca="1">+'Realization of Outlay 11th Plan'!I26</f>
        <v>12232.75</v>
      </c>
      <c r="H26" s="409">
        <v>83950</v>
      </c>
      <c r="I26" s="470">
        <v>87794</v>
      </c>
      <c r="J26" s="470">
        <v>100621</v>
      </c>
      <c r="K26" s="470">
        <v>115535</v>
      </c>
      <c r="L26" s="470">
        <v>130505</v>
      </c>
      <c r="M26" s="385">
        <f t="shared" si="7"/>
        <v>6.7973198332340683</v>
      </c>
      <c r="N26" s="385">
        <f t="shared" si="8"/>
        <v>7.8207691869603844</v>
      </c>
      <c r="O26" s="385">
        <f t="shared" si="9"/>
        <v>6.4885858816747994</v>
      </c>
      <c r="P26" s="385">
        <f t="shared" si="10"/>
        <v>7.1559181200502016</v>
      </c>
      <c r="Q26" s="385">
        <f t="shared" si="11"/>
        <v>9.3733956553388751</v>
      </c>
      <c r="R26" s="405">
        <f t="shared" si="5"/>
        <v>7.5271977354516668</v>
      </c>
    </row>
    <row r="27" spans="1:18" ht="20.100000000000001" customHeight="1">
      <c r="A27" s="499">
        <v>19</v>
      </c>
      <c r="B27" s="498" t="s">
        <v>34</v>
      </c>
      <c r="C27" s="408">
        <f ca="1">+'Realization of Outlay 11th Plan'!D27</f>
        <v>17226.915199999999</v>
      </c>
      <c r="D27" s="408">
        <f ca="1">+'Realization of Outlay 11th Plan'!E27</f>
        <v>22118.210099999997</v>
      </c>
      <c r="E27" s="408">
        <f ca="1">+'Realization of Outlay 11th Plan'!F27</f>
        <v>25966.995099999996</v>
      </c>
      <c r="F27" s="408">
        <f ca="1">+'Realization of Outlay 11th Plan'!G27</f>
        <v>31050</v>
      </c>
      <c r="G27" s="408">
        <f ca="1">+'Realization of Outlay 11th Plan'!I27</f>
        <v>38070</v>
      </c>
      <c r="H27" s="409">
        <v>270629</v>
      </c>
      <c r="I27" s="470">
        <v>310312</v>
      </c>
      <c r="J27" s="470">
        <v>337516</v>
      </c>
      <c r="K27" s="470">
        <v>399347</v>
      </c>
      <c r="L27" s="470">
        <v>458903</v>
      </c>
      <c r="M27" s="385">
        <f t="shared" si="7"/>
        <v>6.3655096829977564</v>
      </c>
      <c r="N27" s="385">
        <f t="shared" si="8"/>
        <v>7.1277327657325511</v>
      </c>
      <c r="O27" s="385">
        <f t="shared" si="9"/>
        <v>7.6935597423529538</v>
      </c>
      <c r="P27" s="385">
        <f t="shared" si="10"/>
        <v>7.7751930025767066</v>
      </c>
      <c r="Q27" s="385">
        <f t="shared" si="11"/>
        <v>8.2958708049413499</v>
      </c>
      <c r="R27" s="405">
        <f t="shared" si="5"/>
        <v>7.4515731997202632</v>
      </c>
    </row>
    <row r="28" spans="1:18" ht="20.100000000000001" customHeight="1">
      <c r="A28" s="499">
        <v>20</v>
      </c>
      <c r="B28" s="498" t="s">
        <v>35</v>
      </c>
      <c r="C28" s="408">
        <f ca="1">+'Realization of Outlay 11th Plan'!D28</f>
        <v>5085.4515999999994</v>
      </c>
      <c r="D28" s="408">
        <f ca="1">+'Realization of Outlay 11th Plan'!E28</f>
        <v>6236.8112000000001</v>
      </c>
      <c r="E28" s="408">
        <f ca="1">+'Realization of Outlay 11th Plan'!F28</f>
        <v>7774.0793000000003</v>
      </c>
      <c r="F28" s="408">
        <f ca="1">+'Realization of Outlay 11th Plan'!G28</f>
        <v>8700.98</v>
      </c>
      <c r="G28" s="408">
        <f ca="1">+'Realization of Outlay 11th Plan'!I28</f>
        <v>12010</v>
      </c>
      <c r="H28" s="409">
        <v>175141</v>
      </c>
      <c r="I28" s="409">
        <v>202783</v>
      </c>
      <c r="J28" s="409">
        <v>232381</v>
      </c>
      <c r="K28" s="409">
        <v>276997</v>
      </c>
      <c r="L28" s="409">
        <v>326693</v>
      </c>
      <c r="M28" s="385">
        <f t="shared" si="7"/>
        <v>2.903632844393945</v>
      </c>
      <c r="N28" s="385">
        <f t="shared" si="8"/>
        <v>3.0756085076165163</v>
      </c>
      <c r="O28" s="385">
        <f t="shared" si="9"/>
        <v>3.34540229192576</v>
      </c>
      <c r="P28" s="385">
        <f t="shared" si="10"/>
        <v>3.1411820344624668</v>
      </c>
      <c r="Q28" s="385">
        <f t="shared" si="11"/>
        <v>3.6762342627482072</v>
      </c>
      <c r="R28" s="405">
        <f t="shared" si="5"/>
        <v>3.2284119882293796</v>
      </c>
    </row>
    <row r="29" spans="1:18" ht="20.100000000000001" customHeight="1">
      <c r="A29" s="499">
        <v>21</v>
      </c>
      <c r="B29" s="498" t="s">
        <v>36</v>
      </c>
      <c r="C29" s="408">
        <f ca="1">+'Realization of Outlay 11th Plan'!D29</f>
        <v>12047.436000000002</v>
      </c>
      <c r="D29" s="408">
        <f ca="1">+'Realization of Outlay 11th Plan'!E29</f>
        <v>13081.021299999999</v>
      </c>
      <c r="E29" s="408">
        <f ca="1">+'Realization of Outlay 11th Plan'!F29</f>
        <v>14609.9995</v>
      </c>
      <c r="F29" s="408">
        <f ca="1">+'Realization of Outlay 11th Plan'!G29</f>
        <v>20156.84</v>
      </c>
      <c r="G29" s="408">
        <f ca="1">+'Realization of Outlay 11th Plan'!I29</f>
        <v>23000</v>
      </c>
      <c r="H29" s="409">
        <v>161479</v>
      </c>
      <c r="I29" s="470">
        <v>197276</v>
      </c>
      <c r="J29" s="470">
        <v>227984</v>
      </c>
      <c r="K29" s="470">
        <v>260403</v>
      </c>
      <c r="L29" s="470">
        <v>315387</v>
      </c>
      <c r="M29" s="385">
        <f t="shared" si="7"/>
        <v>7.460682813245068</v>
      </c>
      <c r="N29" s="385">
        <f t="shared" si="8"/>
        <v>6.630822451793426</v>
      </c>
      <c r="O29" s="385">
        <f t="shared" si="9"/>
        <v>6.4083442259105912</v>
      </c>
      <c r="P29" s="385">
        <f t="shared" si="10"/>
        <v>7.7406327884087354</v>
      </c>
      <c r="Q29" s="385">
        <f t="shared" si="11"/>
        <v>7.2926277874484358</v>
      </c>
      <c r="R29" s="405">
        <f t="shared" si="5"/>
        <v>7.1066220133612514</v>
      </c>
    </row>
    <row r="30" spans="1:18" ht="20.100000000000001" customHeight="1">
      <c r="A30" s="499">
        <v>22</v>
      </c>
      <c r="B30" s="498" t="s">
        <v>37</v>
      </c>
      <c r="C30" s="408">
        <f ca="1">+'Realization of Outlay 11th Plan'!D30</f>
        <v>19422.21</v>
      </c>
      <c r="D30" s="408">
        <f ca="1">+'Realization of Outlay 11th Plan'!E30</f>
        <v>22870.28</v>
      </c>
      <c r="E30" s="408">
        <f ca="1">+'Realization of Outlay 11th Plan'!F30</f>
        <v>27730.59</v>
      </c>
      <c r="F30" s="408">
        <f ca="1">+'Realization of Outlay 11th Plan'!G30</f>
        <v>32576.78</v>
      </c>
      <c r="G30" s="408">
        <f ca="1">+'Realization of Outlay 11th Plan'!I30</f>
        <v>42000</v>
      </c>
      <c r="H30" s="409">
        <v>679004</v>
      </c>
      <c r="I30" s="409">
        <v>756334</v>
      </c>
      <c r="J30" s="409">
        <v>901330</v>
      </c>
      <c r="K30" s="409">
        <v>1029621</v>
      </c>
      <c r="L30" s="409">
        <v>1180302</v>
      </c>
      <c r="M30" s="385">
        <f t="shared" si="7"/>
        <v>2.860396993243044</v>
      </c>
      <c r="N30" s="385">
        <f t="shared" si="8"/>
        <v>3.0238333857792985</v>
      </c>
      <c r="O30" s="385">
        <f t="shared" si="9"/>
        <v>3.076630091087615</v>
      </c>
      <c r="P30" s="385">
        <f t="shared" si="10"/>
        <v>3.1639583885721057</v>
      </c>
      <c r="Q30" s="385">
        <f t="shared" si="11"/>
        <v>3.558411321848137</v>
      </c>
      <c r="R30" s="405">
        <f t="shared" si="5"/>
        <v>3.1366460361060402</v>
      </c>
    </row>
    <row r="31" spans="1:18" ht="17.25" customHeight="1">
      <c r="A31" s="499">
        <v>23</v>
      </c>
      <c r="B31" s="498" t="s">
        <v>104</v>
      </c>
      <c r="C31" s="408">
        <f ca="1">+'Realization of Outlay 11th Plan'!D31</f>
        <v>6032.8143000000009</v>
      </c>
      <c r="D31" s="408">
        <f ca="1">+'Realization of Outlay 11th Plan'!E31</f>
        <v>7572.201</v>
      </c>
      <c r="E31" s="408">
        <f ca="1">+'Realization of Outlay 11th Plan'!F31</f>
        <v>7727.740600000001</v>
      </c>
      <c r="F31" s="408">
        <f ca="1">+'Realization of Outlay 11th Plan'!G31</f>
        <v>10105.67</v>
      </c>
      <c r="G31" s="408">
        <f ca="1">+'Realization of Outlay 11th Plan'!I31</f>
        <v>12300</v>
      </c>
      <c r="H31" s="409">
        <v>129274</v>
      </c>
      <c r="I31" s="409">
        <v>148491</v>
      </c>
      <c r="J31" s="409">
        <v>163727</v>
      </c>
      <c r="K31" s="409">
        <v>195028</v>
      </c>
      <c r="L31" s="409">
        <v>226236</v>
      </c>
      <c r="M31" s="385">
        <f t="shared" si="7"/>
        <v>4.6666880424524662</v>
      </c>
      <c r="N31" s="385">
        <f t="shared" si="8"/>
        <v>5.0994343091500491</v>
      </c>
      <c r="O31" s="385">
        <f t="shared" si="9"/>
        <v>4.7198938476854773</v>
      </c>
      <c r="P31" s="385">
        <f t="shared" si="10"/>
        <v>5.1816508398794019</v>
      </c>
      <c r="Q31" s="385">
        <f t="shared" si="11"/>
        <v>5.4368005092027794</v>
      </c>
      <c r="R31" s="405">
        <f t="shared" si="5"/>
        <v>5.0208935096740346</v>
      </c>
    </row>
    <row r="32" spans="1:18" ht="20.100000000000001" customHeight="1">
      <c r="A32" s="499">
        <v>24</v>
      </c>
      <c r="B32" s="498" t="s">
        <v>39</v>
      </c>
      <c r="C32" s="408">
        <f ca="1">+'Realization of Outlay 11th Plan'!D32</f>
        <v>5024.0942999999997</v>
      </c>
      <c r="D32" s="408">
        <f ca="1">+'Realization of Outlay 11th Plan'!E32</f>
        <v>6925.0986999999996</v>
      </c>
      <c r="E32" s="408">
        <f ca="1">+'Realization of Outlay 11th Plan'!F32</f>
        <v>4973.7771999999995</v>
      </c>
      <c r="F32" s="408">
        <f ca="1">+'Realization of Outlay 11th Plan'!G32</f>
        <v>8324.3700000000008</v>
      </c>
      <c r="G32" s="408">
        <f ca="1">+'Realization of Outlay 11th Plan'!I32</f>
        <v>11520</v>
      </c>
      <c r="H32" s="409">
        <v>152245</v>
      </c>
      <c r="I32" s="470">
        <v>174039</v>
      </c>
      <c r="J32" s="470">
        <v>198393</v>
      </c>
      <c r="K32" s="470">
        <v>224975</v>
      </c>
      <c r="L32" s="470">
        <v>248301</v>
      </c>
      <c r="M32" s="385">
        <f t="shared" si="7"/>
        <v>3.3000061085749941</v>
      </c>
      <c r="N32" s="385">
        <f t="shared" si="8"/>
        <v>3.97904992559139</v>
      </c>
      <c r="O32" s="385">
        <f t="shared" si="9"/>
        <v>2.5070326069972224</v>
      </c>
      <c r="P32" s="385">
        <f t="shared" si="10"/>
        <v>3.7001311256806315</v>
      </c>
      <c r="Q32" s="385">
        <f t="shared" si="11"/>
        <v>4.6395302475624343</v>
      </c>
      <c r="R32" s="405">
        <f t="shared" si="5"/>
        <v>3.6251500028813348</v>
      </c>
    </row>
    <row r="33" spans="1:18" ht="20.100000000000001" customHeight="1">
      <c r="A33" s="499">
        <v>25</v>
      </c>
      <c r="B33" s="498" t="s">
        <v>40</v>
      </c>
      <c r="C33" s="408">
        <f ca="1">+'Realization of Outlay 11th Plan'!D33</f>
        <v>13794.686299999999</v>
      </c>
      <c r="D33" s="408">
        <f ca="1">+'Realization of Outlay 11th Plan'!E33</f>
        <v>14923.348</v>
      </c>
      <c r="E33" s="408">
        <f ca="1">+'Realization of Outlay 11th Plan'!F33</f>
        <v>18022.685400000002</v>
      </c>
      <c r="F33" s="408">
        <f ca="1">+'Realization of Outlay 11th Plan'!G33</f>
        <v>21540.28</v>
      </c>
      <c r="G33" s="408">
        <f ca="1">+'Realization of Outlay 11th Plan'!I33</f>
        <v>27500</v>
      </c>
      <c r="H33" s="409">
        <v>194822</v>
      </c>
      <c r="I33" s="409">
        <v>230949</v>
      </c>
      <c r="J33" s="409">
        <v>263258</v>
      </c>
      <c r="K33" s="409">
        <v>323682</v>
      </c>
      <c r="L33" s="409">
        <v>368320</v>
      </c>
      <c r="M33" s="385">
        <f t="shared" si="7"/>
        <v>7.080661475603371</v>
      </c>
      <c r="N33" s="385">
        <f t="shared" si="8"/>
        <v>6.4617504297485597</v>
      </c>
      <c r="O33" s="385">
        <f t="shared" si="9"/>
        <v>6.8460162274270875</v>
      </c>
      <c r="P33" s="385">
        <f t="shared" si="10"/>
        <v>6.6547660975896097</v>
      </c>
      <c r="Q33" s="385">
        <f t="shared" si="11"/>
        <v>7.4663336229365775</v>
      </c>
      <c r="R33" s="405">
        <f t="shared" si="5"/>
        <v>6.9019055706610404</v>
      </c>
    </row>
    <row r="34" spans="1:18" ht="15" customHeight="1">
      <c r="A34" s="499">
        <v>26</v>
      </c>
      <c r="B34" s="498" t="s">
        <v>41</v>
      </c>
      <c r="C34" s="408">
        <f ca="1">+'Realization of Outlay 11th Plan'!D34</f>
        <v>14224.3156</v>
      </c>
      <c r="D34" s="408">
        <f ca="1">+'Realization of Outlay 11th Plan'!E34</f>
        <v>16246.053300000001</v>
      </c>
      <c r="E34" s="408">
        <f ca="1">+'Realization of Outlay 11th Plan'!F34</f>
        <v>17833.5</v>
      </c>
      <c r="F34" s="408">
        <f ca="1">+'Realization of Outlay 11th Plan'!G34</f>
        <v>20464.77</v>
      </c>
      <c r="G34" s="408">
        <f ca="1">+'Realization of Outlay 11th Plan'!I34</f>
        <v>23535</v>
      </c>
      <c r="H34" s="409">
        <v>350819</v>
      </c>
      <c r="I34" s="470">
        <v>401336</v>
      </c>
      <c r="J34" s="470">
        <v>479720</v>
      </c>
      <c r="K34" s="470">
        <v>566422</v>
      </c>
      <c r="L34" s="470">
        <v>639025</v>
      </c>
      <c r="M34" s="385">
        <f t="shared" si="7"/>
        <v>4.0546024018083395</v>
      </c>
      <c r="N34" s="385">
        <f t="shared" si="8"/>
        <v>4.0479930282855268</v>
      </c>
      <c r="O34" s="385">
        <f t="shared" si="9"/>
        <v>3.7174810306011845</v>
      </c>
      <c r="P34" s="385">
        <f t="shared" si="10"/>
        <v>3.612989961548104</v>
      </c>
      <c r="Q34" s="385">
        <f t="shared" si="11"/>
        <v>3.6829545009976137</v>
      </c>
      <c r="R34" s="405">
        <f t="shared" si="5"/>
        <v>3.8232041846481537</v>
      </c>
    </row>
    <row r="35" spans="1:18" ht="20.100000000000001" customHeight="1">
      <c r="A35" s="499">
        <v>27</v>
      </c>
      <c r="B35" s="498" t="s">
        <v>42</v>
      </c>
      <c r="C35" s="408">
        <f ca="1">+'Realization of Outlay 11th Plan'!D35</f>
        <v>24296.526699999999</v>
      </c>
      <c r="D35" s="408">
        <f ca="1">+'Realization of Outlay 11th Plan'!E35</f>
        <v>34287.620600000002</v>
      </c>
      <c r="E35" s="408">
        <f ca="1">+'Realization of Outlay 11th Plan'!F35</f>
        <v>37211.511099999996</v>
      </c>
      <c r="F35" s="408">
        <f ca="1">+'Realization of Outlay 11th Plan'!G35</f>
        <v>41300.699999999997</v>
      </c>
      <c r="G35" s="408">
        <f ca="1">+'Realization of Outlay 11th Plan'!I35</f>
        <v>42365.31</v>
      </c>
      <c r="H35" s="409">
        <v>383026</v>
      </c>
      <c r="I35" s="470">
        <v>444685</v>
      </c>
      <c r="J35" s="470">
        <v>523193</v>
      </c>
      <c r="K35" s="470">
        <v>605219</v>
      </c>
      <c r="L35" s="470">
        <v>687836</v>
      </c>
      <c r="M35" s="385">
        <f t="shared" si="7"/>
        <v>6.3433100363943966</v>
      </c>
      <c r="N35" s="385">
        <f t="shared" si="8"/>
        <v>7.7105413045189293</v>
      </c>
      <c r="O35" s="385">
        <f t="shared" si="9"/>
        <v>7.1123870349947342</v>
      </c>
      <c r="P35" s="385">
        <f t="shared" si="10"/>
        <v>6.8240917750434127</v>
      </c>
      <c r="Q35" s="385">
        <f t="shared" si="11"/>
        <v>6.1592167318953939</v>
      </c>
      <c r="R35" s="405">
        <f t="shared" si="5"/>
        <v>6.8299093765693728</v>
      </c>
    </row>
    <row r="36" spans="1:18" ht="16.5" customHeight="1">
      <c r="A36" s="499">
        <v>28</v>
      </c>
      <c r="B36" s="498" t="s">
        <v>43</v>
      </c>
      <c r="C36" s="408">
        <f ca="1">+'Realization of Outlay 11th Plan'!D36</f>
        <v>8857.8644999999997</v>
      </c>
      <c r="D36" s="408">
        <f ca="1">+'Realization of Outlay 11th Plan'!E36</f>
        <v>10396.9</v>
      </c>
      <c r="E36" s="408">
        <f ca="1">+'Realization of Outlay 11th Plan'!F36</f>
        <v>12121.5445</v>
      </c>
      <c r="F36" s="408">
        <f ca="1">+'Realization of Outlay 11th Plan'!G36</f>
        <v>11874.48</v>
      </c>
      <c r="G36" s="408">
        <f ca="1">+'Realization of Outlay 11th Plan'!I36</f>
        <v>22214</v>
      </c>
      <c r="H36" s="409">
        <v>299483</v>
      </c>
      <c r="I36" s="470">
        <v>341942</v>
      </c>
      <c r="J36" s="470">
        <v>398933</v>
      </c>
      <c r="K36" s="470">
        <v>467421</v>
      </c>
      <c r="L36" s="470">
        <v>541586</v>
      </c>
      <c r="M36" s="385">
        <f t="shared" si="7"/>
        <v>2.9577186351145137</v>
      </c>
      <c r="N36" s="385">
        <f t="shared" si="8"/>
        <v>3.0405448877294976</v>
      </c>
      <c r="O36" s="385">
        <f t="shared" si="9"/>
        <v>3.0384913005442016</v>
      </c>
      <c r="P36" s="385">
        <f t="shared" si="10"/>
        <v>2.5404250129968489</v>
      </c>
      <c r="Q36" s="385">
        <f t="shared" si="11"/>
        <v>4.101656985224877</v>
      </c>
      <c r="R36" s="405">
        <f t="shared" si="5"/>
        <v>3.1357673643219877</v>
      </c>
    </row>
    <row r="37" spans="1:18" s="357" customFormat="1" ht="16.5" customHeight="1">
      <c r="A37" s="356"/>
      <c r="B37" s="407" t="s">
        <v>260</v>
      </c>
      <c r="C37" s="411">
        <f t="shared" ref="C37:L37" si="12">SUM(C20:C36)</f>
        <v>197365.02849999999</v>
      </c>
      <c r="D37" s="411">
        <f t="shared" si="12"/>
        <v>243235.99339999998</v>
      </c>
      <c r="E37" s="411">
        <f t="shared" si="12"/>
        <v>268581.05070000002</v>
      </c>
      <c r="F37" s="411">
        <f t="shared" si="12"/>
        <v>323111.37</v>
      </c>
      <c r="G37" s="411">
        <f t="shared" si="12"/>
        <v>409497.06</v>
      </c>
      <c r="H37" s="411">
        <f t="shared" si="12"/>
        <v>3939063</v>
      </c>
      <c r="I37" s="411">
        <f t="shared" si="12"/>
        <v>4537764</v>
      </c>
      <c r="J37" s="411">
        <f t="shared" si="12"/>
        <v>5260777</v>
      </c>
      <c r="K37" s="411">
        <f t="shared" si="12"/>
        <v>6182747</v>
      </c>
      <c r="L37" s="411">
        <f t="shared" si="12"/>
        <v>7126825.1524999999</v>
      </c>
      <c r="M37" s="385">
        <f t="shared" si="7"/>
        <v>5.0104562557136045</v>
      </c>
      <c r="N37" s="385">
        <f t="shared" si="8"/>
        <v>5.3602609875700891</v>
      </c>
      <c r="O37" s="385">
        <f t="shared" si="9"/>
        <v>5.1053494702398527</v>
      </c>
      <c r="P37" s="385">
        <f t="shared" si="10"/>
        <v>5.2260163645706346</v>
      </c>
      <c r="Q37" s="385">
        <f t="shared" si="11"/>
        <v>5.7458552895233241</v>
      </c>
      <c r="R37" s="405">
        <f t="shared" si="5"/>
        <v>5.289587673523501</v>
      </c>
    </row>
    <row r="38" spans="1:18" ht="20.25" customHeight="1">
      <c r="A38" s="358"/>
      <c r="B38" s="407" t="s">
        <v>247</v>
      </c>
      <c r="C38" s="411">
        <f t="shared" ref="C38:L38" si="13">+C18+C37</f>
        <v>217173.27839999998</v>
      </c>
      <c r="D38" s="411">
        <f t="shared" si="13"/>
        <v>266735.05979999999</v>
      </c>
      <c r="E38" s="411">
        <f t="shared" si="13"/>
        <v>295673.86554000003</v>
      </c>
      <c r="F38" s="411">
        <f t="shared" si="13"/>
        <v>354436.42</v>
      </c>
      <c r="G38" s="411">
        <f t="shared" si="13"/>
        <v>451228.46</v>
      </c>
      <c r="H38" s="411">
        <f t="shared" si="13"/>
        <v>4174579</v>
      </c>
      <c r="I38" s="411">
        <f t="shared" si="13"/>
        <v>4814179</v>
      </c>
      <c r="J38" s="411">
        <f t="shared" si="13"/>
        <v>5586296</v>
      </c>
      <c r="K38" s="411">
        <f t="shared" si="13"/>
        <v>6554084</v>
      </c>
      <c r="L38" s="411">
        <f t="shared" si="13"/>
        <v>7546725.9814999998</v>
      </c>
      <c r="M38" s="385">
        <f t="shared" si="7"/>
        <v>5.2022797604261406</v>
      </c>
      <c r="N38" s="385">
        <f t="shared" si="8"/>
        <v>5.5406136705760209</v>
      </c>
      <c r="O38" s="385">
        <f t="shared" si="9"/>
        <v>5.292842798519807</v>
      </c>
      <c r="P38" s="385">
        <f t="shared" si="10"/>
        <v>5.4078711838298075</v>
      </c>
      <c r="Q38" s="385">
        <f t="shared" si="11"/>
        <v>5.9791287123202679</v>
      </c>
      <c r="R38" s="405">
        <f t="shared" si="5"/>
        <v>5.484547225134409</v>
      </c>
    </row>
    <row r="39" spans="1:18" ht="20.25" customHeight="1">
      <c r="A39" s="358"/>
      <c r="B39" s="517" t="s">
        <v>263</v>
      </c>
      <c r="C39" s="518"/>
      <c r="D39" s="518"/>
      <c r="E39" s="518"/>
      <c r="F39" s="518"/>
      <c r="G39" s="518"/>
      <c r="H39" s="518"/>
      <c r="I39" s="519"/>
      <c r="J39" s="411"/>
      <c r="K39" s="411"/>
      <c r="L39" s="411"/>
      <c r="M39" s="385"/>
      <c r="N39" s="385"/>
      <c r="O39" s="385"/>
      <c r="P39" s="385"/>
      <c r="Q39" s="385"/>
      <c r="R39" s="405"/>
    </row>
    <row r="40" spans="1:18" ht="15" customHeight="1">
      <c r="A40" s="499">
        <v>29</v>
      </c>
      <c r="B40" s="498" t="s">
        <v>248</v>
      </c>
      <c r="C40" s="408">
        <f ca="1">+'Realization of Outlay 11th Plan'!D40</f>
        <v>607.27639999999997</v>
      </c>
      <c r="D40" s="408">
        <f ca="1">+'Realization of Outlay 11th Plan'!E40</f>
        <v>694.45910000000003</v>
      </c>
      <c r="E40" s="408">
        <f ca="1">+'Realization of Outlay 11th Plan'!F40</f>
        <v>882.26419999999996</v>
      </c>
      <c r="F40" s="408">
        <f ca="1">+'Realization of Outlay 11th Plan'!G40</f>
        <v>849.83</v>
      </c>
      <c r="G40" s="408">
        <f ca="1">+'Realization of Outlay 11th Plan'!I40</f>
        <v>1434.84</v>
      </c>
      <c r="H40" s="409">
        <v>2990</v>
      </c>
      <c r="I40" s="409">
        <v>3480</v>
      </c>
      <c r="J40" s="470">
        <v>4123</v>
      </c>
      <c r="K40" s="470">
        <v>4553</v>
      </c>
      <c r="L40" s="470">
        <v>5026</v>
      </c>
      <c r="M40" s="385">
        <f t="shared" si="7"/>
        <v>20.310247491638794</v>
      </c>
      <c r="N40" s="385">
        <f t="shared" si="8"/>
        <v>19.955721264367817</v>
      </c>
      <c r="O40" s="385">
        <f t="shared" si="9"/>
        <v>21.398598108173658</v>
      </c>
      <c r="P40" s="385">
        <f t="shared" si="10"/>
        <v>18.665275642433564</v>
      </c>
      <c r="Q40" s="385">
        <f t="shared" si="11"/>
        <v>28.548348587345799</v>
      </c>
      <c r="R40" s="405">
        <f t="shared" si="5"/>
        <v>21.775638218791926</v>
      </c>
    </row>
    <row r="41" spans="1:18" ht="16.5" customHeight="1">
      <c r="A41" s="499">
        <v>30</v>
      </c>
      <c r="B41" s="498" t="s">
        <v>250</v>
      </c>
      <c r="C41" s="408">
        <f ca="1">+'Realization of Outlay 11th Plan'!D41</f>
        <v>317.20639999999997</v>
      </c>
      <c r="D41" s="408">
        <f ca="1">+'Realization of Outlay 11th Plan'!E41</f>
        <v>488.53879999999998</v>
      </c>
      <c r="E41" s="408">
        <f ca="1">+'Realization of Outlay 11th Plan'!F41</f>
        <v>449.1336</v>
      </c>
      <c r="F41" s="408">
        <f ca="1">+'Realization of Outlay 11th Plan'!G41</f>
        <v>461.31</v>
      </c>
      <c r="G41" s="408">
        <f ca="1">+'Realization of Outlay 11th Plan'!I41</f>
        <v>661.89</v>
      </c>
      <c r="H41" s="409">
        <v>13669</v>
      </c>
      <c r="I41" s="409">
        <v>15334</v>
      </c>
      <c r="J41" s="470">
        <v>17577</v>
      </c>
      <c r="K41" s="470">
        <v>20493</v>
      </c>
      <c r="L41" s="470">
        <v>23368</v>
      </c>
      <c r="M41" s="385">
        <f t="shared" si="7"/>
        <v>2.3206262345453212</v>
      </c>
      <c r="N41" s="385">
        <f t="shared" si="8"/>
        <v>3.1859840876483627</v>
      </c>
      <c r="O41" s="385">
        <f t="shared" si="9"/>
        <v>2.5552346816862945</v>
      </c>
      <c r="P41" s="385">
        <f t="shared" si="10"/>
        <v>2.2510613380178599</v>
      </c>
      <c r="Q41" s="385">
        <f t="shared" si="11"/>
        <v>2.8324631975350907</v>
      </c>
      <c r="R41" s="405">
        <f t="shared" si="5"/>
        <v>2.6290739078865855</v>
      </c>
    </row>
    <row r="42" spans="1:18" ht="13.5" customHeight="1">
      <c r="A42" s="499">
        <v>31</v>
      </c>
      <c r="B42" s="498" t="s">
        <v>253</v>
      </c>
      <c r="C42" s="408">
        <f ca="1">+'Realization of Outlay 11th Plan'!D44</f>
        <v>8747.427099999999</v>
      </c>
      <c r="D42" s="408">
        <f ca="1">+'Realization of Outlay 11th Plan'!E44</f>
        <v>9619.5153000000009</v>
      </c>
      <c r="E42" s="408">
        <f ca="1">+'Realization of Outlay 11th Plan'!F44</f>
        <v>11048.1445</v>
      </c>
      <c r="F42" s="408">
        <f ca="1">+'Realization of Outlay 11th Plan'!G44</f>
        <v>10490.81</v>
      </c>
      <c r="G42" s="408">
        <f ca="1">+'Realization of Outlay 11th Plan'!I44</f>
        <v>15133</v>
      </c>
      <c r="H42" s="409">
        <v>157947</v>
      </c>
      <c r="I42" s="409">
        <v>189533</v>
      </c>
      <c r="J42" s="409">
        <v>223759</v>
      </c>
      <c r="K42" s="409">
        <v>264496</v>
      </c>
      <c r="L42" s="409">
        <v>313934</v>
      </c>
      <c r="M42" s="385">
        <f t="shared" si="7"/>
        <v>5.53820401780344</v>
      </c>
      <c r="N42" s="385">
        <f t="shared" si="8"/>
        <v>5.0753775332000233</v>
      </c>
      <c r="O42" s="385">
        <f t="shared" si="9"/>
        <v>4.9375196081498398</v>
      </c>
      <c r="P42" s="385">
        <f t="shared" si="10"/>
        <v>3.9663397556106705</v>
      </c>
      <c r="Q42" s="385">
        <f t="shared" si="11"/>
        <v>4.8204399650882035</v>
      </c>
      <c r="R42" s="405">
        <f t="shared" si="5"/>
        <v>4.8675761759704361</v>
      </c>
    </row>
    <row r="43" spans="1:18" ht="16.5" customHeight="1">
      <c r="A43" s="499">
        <v>32</v>
      </c>
      <c r="B43" s="498" t="s">
        <v>47</v>
      </c>
      <c r="C43" s="408">
        <f ca="1">+'Realization of Outlay 11th Plan'!D46</f>
        <v>1086.7253000000001</v>
      </c>
      <c r="D43" s="408">
        <f ca="1">+'Realization of Outlay 11th Plan'!E46</f>
        <v>1060.7583999999999</v>
      </c>
      <c r="E43" s="408">
        <f ca="1">+'Realization of Outlay 11th Plan'!F46</f>
        <v>1449.9279999999999</v>
      </c>
      <c r="F43" s="408">
        <f ca="1">+'Realization of Outlay 11th Plan'!G46</f>
        <v>1562.5</v>
      </c>
      <c r="G43" s="408">
        <f ca="1">+'Realization of Outlay 11th Plan'!I46</f>
        <v>2750</v>
      </c>
      <c r="H43" s="409">
        <v>9251</v>
      </c>
      <c r="I43" s="409">
        <v>10050</v>
      </c>
      <c r="J43" s="409">
        <v>11344</v>
      </c>
      <c r="K43" s="409">
        <v>12929</v>
      </c>
      <c r="L43" s="409">
        <v>13724</v>
      </c>
      <c r="M43" s="385">
        <f t="shared" si="7"/>
        <v>11.747111663603937</v>
      </c>
      <c r="N43" s="385">
        <f t="shared" si="8"/>
        <v>10.554809950248757</v>
      </c>
      <c r="O43" s="385">
        <f t="shared" si="9"/>
        <v>12.78145275035261</v>
      </c>
      <c r="P43" s="385">
        <f t="shared" si="10"/>
        <v>12.08523474359966</v>
      </c>
      <c r="Q43" s="385">
        <f t="shared" si="11"/>
        <v>20.037889828038473</v>
      </c>
      <c r="R43" s="405">
        <f t="shared" si="5"/>
        <v>13.441299787168685</v>
      </c>
    </row>
    <row r="44" spans="1:18">
      <c r="A44" s="347"/>
      <c r="B44" s="407" t="s">
        <v>255</v>
      </c>
      <c r="C44" s="411">
        <f t="shared" ref="C44:L44" si="14">SUM(C40:C43)</f>
        <v>10758.635199999999</v>
      </c>
      <c r="D44" s="411">
        <f t="shared" si="14"/>
        <v>11863.271600000002</v>
      </c>
      <c r="E44" s="411">
        <f t="shared" si="14"/>
        <v>13829.470300000001</v>
      </c>
      <c r="F44" s="411">
        <f t="shared" si="14"/>
        <v>13364.449999999999</v>
      </c>
      <c r="G44" s="411">
        <f t="shared" si="14"/>
        <v>19979.73</v>
      </c>
      <c r="H44" s="411">
        <f t="shared" si="14"/>
        <v>183857</v>
      </c>
      <c r="I44" s="411">
        <f t="shared" si="14"/>
        <v>218397</v>
      </c>
      <c r="J44" s="411">
        <f t="shared" si="14"/>
        <v>256803</v>
      </c>
      <c r="K44" s="411">
        <f t="shared" si="14"/>
        <v>302471</v>
      </c>
      <c r="L44" s="411">
        <f t="shared" si="14"/>
        <v>356052</v>
      </c>
      <c r="M44" s="385">
        <f t="shared" si="7"/>
        <v>5.8516320836302125</v>
      </c>
      <c r="N44" s="385">
        <f t="shared" si="8"/>
        <v>5.4319755307994173</v>
      </c>
      <c r="O44" s="385">
        <f t="shared" si="9"/>
        <v>5.3852448374824284</v>
      </c>
      <c r="P44" s="385">
        <f t="shared" si="10"/>
        <v>4.4184235844097444</v>
      </c>
      <c r="Q44" s="385">
        <f t="shared" si="11"/>
        <v>5.6114640558120721</v>
      </c>
      <c r="R44" s="405">
        <f t="shared" si="5"/>
        <v>5.3397480184267749</v>
      </c>
    </row>
    <row r="45" spans="1:18" ht="18.75" customHeight="1">
      <c r="A45" s="347"/>
      <c r="B45" s="407" t="s">
        <v>262</v>
      </c>
      <c r="C45" s="411">
        <f t="shared" ref="C45:L45" si="15">+C38+C44</f>
        <v>227931.91359999997</v>
      </c>
      <c r="D45" s="411">
        <f t="shared" si="15"/>
        <v>278598.33139999997</v>
      </c>
      <c r="E45" s="411">
        <f t="shared" si="15"/>
        <v>309503.33584000001</v>
      </c>
      <c r="F45" s="411">
        <f t="shared" si="15"/>
        <v>367800.87</v>
      </c>
      <c r="G45" s="411">
        <f t="shared" si="15"/>
        <v>471208.19</v>
      </c>
      <c r="H45" s="411">
        <f t="shared" si="15"/>
        <v>4358436</v>
      </c>
      <c r="I45" s="411">
        <f t="shared" si="15"/>
        <v>5032576</v>
      </c>
      <c r="J45" s="411">
        <f t="shared" si="15"/>
        <v>5843099</v>
      </c>
      <c r="K45" s="411">
        <f t="shared" si="15"/>
        <v>6856555</v>
      </c>
      <c r="L45" s="411">
        <f t="shared" si="15"/>
        <v>7902777.9814999998</v>
      </c>
      <c r="M45" s="385">
        <f t="shared" si="7"/>
        <v>5.2296721484495805</v>
      </c>
      <c r="N45" s="385">
        <f t="shared" si="8"/>
        <v>5.5358991379365152</v>
      </c>
      <c r="O45" s="385">
        <f t="shared" si="9"/>
        <v>5.2969038491389595</v>
      </c>
      <c r="P45" s="385">
        <f t="shared" si="10"/>
        <v>5.3642225578296978</v>
      </c>
      <c r="Q45" s="385">
        <f t="shared" si="11"/>
        <v>5.9625639376820949</v>
      </c>
      <c r="R45" s="405">
        <f t="shared" si="5"/>
        <v>5.4778523262073699</v>
      </c>
    </row>
    <row r="46" spans="1:18">
      <c r="A46" s="351"/>
      <c r="B46" s="349"/>
      <c r="C46" s="351"/>
      <c r="D46" s="351"/>
      <c r="E46" s="351"/>
      <c r="F46" s="351"/>
      <c r="G46" s="351"/>
    </row>
    <row r="47" spans="1:18">
      <c r="A47" s="351"/>
      <c r="B47" s="349"/>
      <c r="C47" s="351"/>
      <c r="D47" s="351"/>
      <c r="E47" s="351"/>
      <c r="F47" s="351"/>
      <c r="G47" s="351"/>
    </row>
    <row r="48" spans="1:18">
      <c r="A48" s="351"/>
      <c r="B48" s="349"/>
      <c r="C48" s="351"/>
      <c r="D48" s="351"/>
      <c r="E48" s="351"/>
      <c r="F48" s="351"/>
      <c r="G48" s="351"/>
    </row>
    <row r="49" spans="1:7">
      <c r="A49" s="351"/>
      <c r="B49" s="349"/>
      <c r="C49" s="351"/>
      <c r="D49" s="351"/>
      <c r="E49" s="351"/>
      <c r="F49" s="351"/>
      <c r="G49" s="351"/>
    </row>
    <row r="50" spans="1:7">
      <c r="A50" s="351"/>
      <c r="B50" s="349"/>
      <c r="C50" s="351"/>
      <c r="D50" s="351"/>
      <c r="E50" s="351"/>
      <c r="F50" s="351"/>
      <c r="G50" s="351"/>
    </row>
    <row r="51" spans="1:7">
      <c r="A51" s="351"/>
      <c r="B51" s="349"/>
      <c r="C51" s="351"/>
      <c r="D51" s="351"/>
      <c r="E51" s="351"/>
      <c r="F51" s="351"/>
      <c r="G51" s="351"/>
    </row>
    <row r="52" spans="1:7">
      <c r="A52" s="351"/>
      <c r="B52" s="349"/>
      <c r="C52" s="351"/>
      <c r="D52" s="351"/>
      <c r="E52" s="351"/>
      <c r="F52" s="351"/>
      <c r="G52" s="351"/>
    </row>
    <row r="53" spans="1:7">
      <c r="A53" s="351"/>
      <c r="B53" s="349"/>
      <c r="C53" s="351"/>
      <c r="D53" s="351"/>
      <c r="E53" s="351"/>
      <c r="F53" s="351"/>
      <c r="G53" s="351"/>
    </row>
    <row r="54" spans="1:7">
      <c r="A54" s="351"/>
      <c r="B54" s="349"/>
      <c r="C54" s="351"/>
      <c r="D54" s="351"/>
      <c r="E54" s="351"/>
      <c r="F54" s="351"/>
      <c r="G54" s="351"/>
    </row>
    <row r="55" spans="1:7">
      <c r="A55" s="351"/>
      <c r="B55" s="349"/>
      <c r="C55" s="351"/>
      <c r="D55" s="351"/>
      <c r="E55" s="351"/>
      <c r="F55" s="351"/>
      <c r="G55" s="351"/>
    </row>
    <row r="56" spans="1:7">
      <c r="A56" s="351"/>
      <c r="B56" s="349"/>
      <c r="C56" s="351"/>
      <c r="D56" s="351"/>
      <c r="E56" s="351"/>
      <c r="F56" s="351"/>
      <c r="G56" s="351"/>
    </row>
    <row r="57" spans="1:7">
      <c r="A57" s="351"/>
      <c r="B57" s="349"/>
      <c r="C57" s="351"/>
      <c r="D57" s="351"/>
      <c r="E57" s="351"/>
      <c r="F57" s="351"/>
      <c r="G57" s="351"/>
    </row>
    <row r="58" spans="1:7">
      <c r="A58" s="351"/>
      <c r="B58" s="349"/>
      <c r="C58" s="351"/>
      <c r="D58" s="351"/>
      <c r="E58" s="351"/>
      <c r="F58" s="351"/>
      <c r="G58" s="351"/>
    </row>
    <row r="59" spans="1:7">
      <c r="A59" s="351"/>
      <c r="B59" s="349"/>
      <c r="C59" s="351"/>
      <c r="D59" s="351"/>
      <c r="E59" s="351"/>
      <c r="F59" s="351"/>
      <c r="G59" s="351"/>
    </row>
    <row r="60" spans="1:7">
      <c r="A60" s="351"/>
      <c r="B60" s="349"/>
      <c r="C60" s="351"/>
      <c r="D60" s="351"/>
      <c r="E60" s="351"/>
      <c r="F60" s="351"/>
      <c r="G60" s="351"/>
    </row>
    <row r="61" spans="1:7">
      <c r="A61" s="351"/>
      <c r="B61" s="349"/>
      <c r="C61" s="351"/>
      <c r="D61" s="351"/>
      <c r="E61" s="351"/>
      <c r="F61" s="351"/>
      <c r="G61" s="351"/>
    </row>
    <row r="62" spans="1:7">
      <c r="A62" s="351"/>
      <c r="B62" s="349"/>
      <c r="C62" s="351"/>
      <c r="D62" s="351"/>
      <c r="E62" s="351"/>
      <c r="F62" s="351"/>
      <c r="G62" s="351"/>
    </row>
    <row r="63" spans="1:7">
      <c r="A63" s="351"/>
      <c r="B63" s="349"/>
      <c r="C63" s="351"/>
      <c r="D63" s="351"/>
      <c r="E63" s="351"/>
      <c r="F63" s="351"/>
      <c r="G63" s="351"/>
    </row>
    <row r="64" spans="1:7">
      <c r="A64" s="351"/>
      <c r="B64" s="349"/>
      <c r="C64" s="351"/>
      <c r="D64" s="351"/>
      <c r="E64" s="351"/>
      <c r="F64" s="351"/>
      <c r="G64" s="351"/>
    </row>
    <row r="65" spans="1:7">
      <c r="A65" s="351"/>
      <c r="B65" s="349"/>
      <c r="C65" s="351"/>
      <c r="D65" s="351"/>
      <c r="E65" s="351"/>
      <c r="F65" s="351"/>
      <c r="G65" s="351"/>
    </row>
    <row r="66" spans="1:7">
      <c r="A66" s="351"/>
      <c r="B66" s="349"/>
      <c r="C66" s="351"/>
      <c r="D66" s="351"/>
      <c r="E66" s="351"/>
      <c r="F66" s="351"/>
      <c r="G66" s="351"/>
    </row>
    <row r="67" spans="1:7">
      <c r="A67" s="351"/>
      <c r="B67" s="349"/>
      <c r="C67" s="351"/>
      <c r="D67" s="351"/>
      <c r="E67" s="351"/>
      <c r="F67" s="351"/>
      <c r="G67" s="351"/>
    </row>
    <row r="68" spans="1:7">
      <c r="A68" s="351"/>
      <c r="B68" s="349"/>
      <c r="C68" s="351"/>
      <c r="D68" s="351"/>
      <c r="E68" s="351"/>
      <c r="F68" s="351"/>
      <c r="G68" s="351"/>
    </row>
    <row r="69" spans="1:7">
      <c r="A69" s="351"/>
      <c r="B69" s="349"/>
      <c r="C69" s="351"/>
      <c r="D69" s="351"/>
      <c r="E69" s="351"/>
      <c r="F69" s="351"/>
      <c r="G69" s="351"/>
    </row>
    <row r="70" spans="1:7">
      <c r="A70" s="351"/>
      <c r="B70" s="349"/>
      <c r="C70" s="351"/>
      <c r="D70" s="351"/>
      <c r="E70" s="351"/>
      <c r="F70" s="351"/>
      <c r="G70" s="351"/>
    </row>
    <row r="71" spans="1:7">
      <c r="A71" s="351"/>
      <c r="B71" s="349"/>
      <c r="C71" s="351"/>
      <c r="D71" s="351"/>
      <c r="E71" s="351"/>
      <c r="F71" s="351"/>
      <c r="G71" s="351"/>
    </row>
    <row r="72" spans="1:7">
      <c r="A72" s="351"/>
      <c r="B72" s="349"/>
      <c r="C72" s="351"/>
      <c r="D72" s="351"/>
      <c r="E72" s="351"/>
      <c r="F72" s="351"/>
      <c r="G72" s="351"/>
    </row>
    <row r="73" spans="1:7">
      <c r="A73" s="351"/>
      <c r="B73" s="349"/>
      <c r="C73" s="351"/>
      <c r="D73" s="351"/>
      <c r="E73" s="351"/>
      <c r="F73" s="351"/>
      <c r="G73" s="351"/>
    </row>
    <row r="74" spans="1:7">
      <c r="A74" s="351"/>
      <c r="B74" s="349"/>
      <c r="C74" s="351"/>
      <c r="D74" s="351"/>
      <c r="E74" s="351"/>
      <c r="F74" s="351"/>
      <c r="G74" s="351"/>
    </row>
    <row r="75" spans="1:7">
      <c r="A75" s="351"/>
      <c r="B75" s="349"/>
      <c r="C75" s="351"/>
      <c r="D75" s="351"/>
      <c r="E75" s="351"/>
      <c r="F75" s="351"/>
      <c r="G75" s="351"/>
    </row>
    <row r="76" spans="1:7">
      <c r="A76" s="351"/>
      <c r="B76" s="349"/>
      <c r="C76" s="351"/>
      <c r="D76" s="351"/>
      <c r="E76" s="351"/>
      <c r="F76" s="351"/>
      <c r="G76" s="351"/>
    </row>
    <row r="77" spans="1:7">
      <c r="A77" s="351"/>
      <c r="B77" s="349"/>
      <c r="C77" s="351"/>
      <c r="D77" s="351"/>
      <c r="E77" s="351"/>
      <c r="F77" s="351"/>
      <c r="G77" s="351"/>
    </row>
    <row r="78" spans="1:7">
      <c r="A78" s="351"/>
      <c r="B78" s="349"/>
      <c r="C78" s="351"/>
      <c r="D78" s="351"/>
      <c r="E78" s="351"/>
      <c r="F78" s="351"/>
      <c r="G78" s="351"/>
    </row>
    <row r="79" spans="1:7">
      <c r="A79" s="351"/>
      <c r="B79" s="349"/>
      <c r="C79" s="351"/>
      <c r="D79" s="351"/>
      <c r="E79" s="351"/>
      <c r="F79" s="351"/>
      <c r="G79" s="351"/>
    </row>
    <row r="80" spans="1:7">
      <c r="A80" s="351"/>
      <c r="B80" s="349"/>
      <c r="C80" s="351"/>
      <c r="D80" s="351"/>
      <c r="E80" s="351"/>
      <c r="F80" s="351"/>
      <c r="G80" s="351"/>
    </row>
    <row r="81" spans="1:7">
      <c r="A81" s="351"/>
      <c r="B81" s="349"/>
      <c r="C81" s="351"/>
      <c r="D81" s="351"/>
      <c r="E81" s="351"/>
      <c r="F81" s="351"/>
      <c r="G81" s="351"/>
    </row>
    <row r="82" spans="1:7">
      <c r="A82" s="351"/>
      <c r="B82" s="349"/>
      <c r="C82" s="351"/>
      <c r="D82" s="351"/>
      <c r="E82" s="351"/>
      <c r="F82" s="351"/>
      <c r="G82" s="351"/>
    </row>
    <row r="83" spans="1:7">
      <c r="A83" s="351"/>
      <c r="B83" s="349"/>
      <c r="C83" s="351"/>
      <c r="D83" s="351"/>
      <c r="E83" s="351"/>
      <c r="F83" s="351"/>
      <c r="G83" s="351"/>
    </row>
    <row r="84" spans="1:7">
      <c r="A84" s="351"/>
      <c r="B84" s="349"/>
      <c r="C84" s="351"/>
      <c r="D84" s="351"/>
      <c r="E84" s="351"/>
      <c r="F84" s="351"/>
      <c r="G84" s="351"/>
    </row>
    <row r="85" spans="1:7">
      <c r="A85" s="351"/>
      <c r="B85" s="349"/>
      <c r="C85" s="351"/>
      <c r="D85" s="351"/>
      <c r="E85" s="351"/>
      <c r="F85" s="351"/>
      <c r="G85" s="351"/>
    </row>
    <row r="86" spans="1:7">
      <c r="A86" s="351"/>
      <c r="B86" s="349"/>
      <c r="C86" s="351"/>
      <c r="D86" s="351"/>
      <c r="E86" s="351"/>
      <c r="F86" s="351"/>
      <c r="G86" s="351"/>
    </row>
    <row r="87" spans="1:7">
      <c r="A87" s="351"/>
      <c r="B87" s="349"/>
      <c r="C87" s="351"/>
      <c r="D87" s="351"/>
      <c r="E87" s="351"/>
      <c r="F87" s="351"/>
      <c r="G87" s="351"/>
    </row>
    <row r="88" spans="1:7">
      <c r="A88" s="351"/>
      <c r="B88" s="349"/>
      <c r="C88" s="351"/>
      <c r="D88" s="351"/>
      <c r="E88" s="351"/>
      <c r="F88" s="351"/>
      <c r="G88" s="351"/>
    </row>
    <row r="89" spans="1:7">
      <c r="A89" s="351"/>
      <c r="B89" s="349"/>
      <c r="C89" s="351"/>
      <c r="D89" s="351"/>
      <c r="E89" s="351"/>
      <c r="F89" s="351"/>
      <c r="G89" s="351"/>
    </row>
    <row r="90" spans="1:7">
      <c r="A90" s="351"/>
      <c r="B90" s="349"/>
      <c r="C90" s="351"/>
      <c r="D90" s="351"/>
      <c r="E90" s="351"/>
      <c r="F90" s="351"/>
      <c r="G90" s="351"/>
    </row>
    <row r="91" spans="1:7">
      <c r="A91" s="351"/>
      <c r="B91" s="349"/>
      <c r="C91" s="351"/>
      <c r="D91" s="351"/>
      <c r="E91" s="351"/>
      <c r="F91" s="351"/>
      <c r="G91" s="351"/>
    </row>
    <row r="92" spans="1:7">
      <c r="A92" s="351"/>
      <c r="B92" s="349"/>
      <c r="C92" s="351"/>
      <c r="D92" s="351"/>
      <c r="E92" s="351"/>
      <c r="F92" s="351"/>
      <c r="G92" s="351"/>
    </row>
    <row r="93" spans="1:7">
      <c r="A93" s="351"/>
      <c r="B93" s="349"/>
      <c r="C93" s="351"/>
      <c r="D93" s="351"/>
      <c r="E93" s="351"/>
      <c r="F93" s="351"/>
      <c r="G93" s="351"/>
    </row>
    <row r="94" spans="1:7">
      <c r="A94" s="351"/>
      <c r="B94" s="349"/>
      <c r="C94" s="351"/>
      <c r="D94" s="351"/>
      <c r="E94" s="351"/>
      <c r="F94" s="351"/>
      <c r="G94" s="351"/>
    </row>
    <row r="95" spans="1:7">
      <c r="A95" s="351"/>
      <c r="B95" s="349"/>
      <c r="C95" s="351"/>
      <c r="D95" s="351"/>
      <c r="E95" s="351"/>
      <c r="F95" s="351"/>
      <c r="G95" s="351"/>
    </row>
    <row r="96" spans="1:7">
      <c r="A96" s="351"/>
      <c r="B96" s="349"/>
      <c r="C96" s="351"/>
      <c r="D96" s="351"/>
      <c r="E96" s="351"/>
      <c r="F96" s="351"/>
      <c r="G96" s="351"/>
    </row>
    <row r="97" spans="1:7">
      <c r="A97" s="351"/>
      <c r="B97" s="349"/>
      <c r="C97" s="351"/>
      <c r="D97" s="351"/>
      <c r="E97" s="351"/>
      <c r="F97" s="351"/>
      <c r="G97" s="351"/>
    </row>
    <row r="98" spans="1:7">
      <c r="A98" s="351"/>
      <c r="B98" s="349"/>
      <c r="C98" s="351"/>
      <c r="D98" s="351"/>
      <c r="E98" s="351"/>
      <c r="F98" s="351"/>
      <c r="G98" s="351"/>
    </row>
    <row r="99" spans="1:7">
      <c r="A99" s="351"/>
      <c r="B99" s="349"/>
      <c r="C99" s="351"/>
      <c r="D99" s="351"/>
      <c r="E99" s="351"/>
      <c r="F99" s="351"/>
      <c r="G99" s="351"/>
    </row>
    <row r="100" spans="1:7">
      <c r="A100" s="351"/>
      <c r="B100" s="349"/>
      <c r="C100" s="351"/>
      <c r="D100" s="351"/>
      <c r="E100" s="351"/>
      <c r="F100" s="351"/>
      <c r="G100" s="351"/>
    </row>
    <row r="101" spans="1:7">
      <c r="A101" s="351"/>
      <c r="B101" s="349"/>
      <c r="C101" s="351"/>
      <c r="D101" s="351"/>
      <c r="E101" s="351"/>
      <c r="F101" s="351"/>
      <c r="G101" s="351"/>
    </row>
    <row r="102" spans="1:7">
      <c r="A102" s="351"/>
      <c r="B102" s="349"/>
      <c r="C102" s="351"/>
      <c r="D102" s="351"/>
      <c r="E102" s="351"/>
      <c r="F102" s="351"/>
      <c r="G102" s="351"/>
    </row>
    <row r="103" spans="1:7">
      <c r="A103" s="351"/>
      <c r="B103" s="349"/>
      <c r="C103" s="351"/>
      <c r="D103" s="351"/>
      <c r="E103" s="351"/>
      <c r="F103" s="351"/>
      <c r="G103" s="351"/>
    </row>
    <row r="104" spans="1:7">
      <c r="A104" s="351"/>
      <c r="B104" s="349"/>
      <c r="C104" s="351"/>
      <c r="D104" s="351"/>
      <c r="E104" s="351"/>
      <c r="F104" s="351"/>
      <c r="G104" s="351"/>
    </row>
    <row r="105" spans="1:7">
      <c r="A105" s="351"/>
      <c r="B105" s="349"/>
      <c r="C105" s="351"/>
      <c r="D105" s="351"/>
      <c r="E105" s="351"/>
      <c r="F105" s="351"/>
      <c r="G105" s="351"/>
    </row>
    <row r="106" spans="1:7">
      <c r="A106" s="351"/>
      <c r="B106" s="349"/>
      <c r="C106" s="351"/>
      <c r="D106" s="351"/>
      <c r="E106" s="351"/>
      <c r="F106" s="351"/>
      <c r="G106" s="351"/>
    </row>
    <row r="107" spans="1:7">
      <c r="A107" s="351"/>
      <c r="B107" s="349"/>
      <c r="C107" s="351"/>
      <c r="D107" s="351"/>
      <c r="E107" s="351"/>
      <c r="F107" s="351"/>
      <c r="G107" s="351"/>
    </row>
    <row r="108" spans="1:7">
      <c r="A108" s="351"/>
      <c r="B108" s="349"/>
      <c r="C108" s="351"/>
      <c r="D108" s="351"/>
      <c r="E108" s="351"/>
      <c r="F108" s="351"/>
      <c r="G108" s="351"/>
    </row>
    <row r="109" spans="1:7">
      <c r="A109" s="351"/>
      <c r="B109" s="349"/>
      <c r="C109" s="351"/>
      <c r="D109" s="351"/>
      <c r="E109" s="351"/>
      <c r="F109" s="351"/>
      <c r="G109" s="351"/>
    </row>
    <row r="110" spans="1:7">
      <c r="A110" s="351"/>
      <c r="B110" s="349"/>
      <c r="C110" s="351"/>
      <c r="D110" s="351"/>
      <c r="E110" s="351"/>
      <c r="F110" s="351"/>
      <c r="G110" s="351"/>
    </row>
    <row r="111" spans="1:7">
      <c r="A111" s="351"/>
      <c r="B111" s="349"/>
      <c r="C111" s="351"/>
      <c r="D111" s="351"/>
      <c r="E111" s="351"/>
      <c r="F111" s="351"/>
      <c r="G111" s="351"/>
    </row>
    <row r="112" spans="1:7">
      <c r="A112" s="351"/>
      <c r="B112" s="349"/>
      <c r="C112" s="351"/>
      <c r="D112" s="351"/>
      <c r="E112" s="351"/>
      <c r="F112" s="351"/>
      <c r="G112" s="351"/>
    </row>
    <row r="113" spans="1:7">
      <c r="A113" s="351"/>
      <c r="B113" s="349"/>
      <c r="C113" s="351"/>
      <c r="D113" s="351"/>
      <c r="E113" s="351"/>
      <c r="F113" s="351"/>
      <c r="G113" s="351"/>
    </row>
    <row r="114" spans="1:7">
      <c r="A114" s="351"/>
      <c r="B114" s="349"/>
      <c r="C114" s="351"/>
      <c r="D114" s="351"/>
      <c r="E114" s="351"/>
      <c r="F114" s="351"/>
      <c r="G114" s="351"/>
    </row>
    <row r="115" spans="1:7">
      <c r="A115" s="351"/>
      <c r="B115" s="349"/>
      <c r="C115" s="351"/>
      <c r="D115" s="351"/>
      <c r="E115" s="351"/>
      <c r="F115" s="351"/>
      <c r="G115" s="351"/>
    </row>
    <row r="116" spans="1:7">
      <c r="A116" s="351"/>
      <c r="B116" s="349"/>
      <c r="C116" s="351"/>
      <c r="D116" s="351"/>
      <c r="E116" s="351"/>
      <c r="F116" s="351"/>
      <c r="G116" s="351"/>
    </row>
    <row r="117" spans="1:7">
      <c r="A117" s="351"/>
      <c r="B117" s="349"/>
      <c r="C117" s="351"/>
      <c r="D117" s="351"/>
      <c r="E117" s="351"/>
      <c r="F117" s="351"/>
      <c r="G117" s="351"/>
    </row>
    <row r="118" spans="1:7">
      <c r="A118" s="351"/>
      <c r="B118" s="349"/>
      <c r="C118" s="351"/>
      <c r="D118" s="351"/>
      <c r="E118" s="351"/>
      <c r="F118" s="351"/>
      <c r="G118" s="351"/>
    </row>
    <row r="119" spans="1:7">
      <c r="A119" s="351"/>
      <c r="B119" s="349"/>
      <c r="C119" s="351"/>
      <c r="D119" s="351"/>
      <c r="E119" s="351"/>
      <c r="F119" s="351"/>
      <c r="G119" s="351"/>
    </row>
  </sheetData>
  <mergeCells count="10">
    <mergeCell ref="B39:I39"/>
    <mergeCell ref="M5:R5"/>
    <mergeCell ref="B19:D19"/>
    <mergeCell ref="A1:L1"/>
    <mergeCell ref="B6:C6"/>
    <mergeCell ref="H5:L5"/>
    <mergeCell ref="C5:G5"/>
    <mergeCell ref="B3:B5"/>
    <mergeCell ref="A3:A5"/>
    <mergeCell ref="H4:L4"/>
  </mergeCells>
  <phoneticPr fontId="22" type="noConversion"/>
  <printOptions horizontalCentered="1"/>
  <pageMargins left="0.31496062992125984" right="0" top="0.55118110236220474" bottom="0.19685039370078741" header="0.15748031496062992" footer="0.15748031496062992"/>
  <pageSetup paperSize="9" scale="61" orientation="landscape" horizontalDpi="200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55"/>
  <sheetViews>
    <sheetView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2.75"/>
  <cols>
    <col min="1" max="1" width="6.7109375" style="24" customWidth="1"/>
    <col min="2" max="2" width="35.28515625" style="24" customWidth="1"/>
    <col min="3" max="3" width="12.28515625" style="24" customWidth="1"/>
    <col min="4" max="4" width="11.85546875" style="24" bestFit="1" customWidth="1"/>
    <col min="5" max="5" width="13" style="24" customWidth="1"/>
    <col min="6" max="6" width="12.85546875" style="24" customWidth="1"/>
    <col min="7" max="7" width="11.85546875" style="24" customWidth="1"/>
    <col min="8" max="12" width="10.7109375" style="24" customWidth="1"/>
    <col min="13" max="15" width="9.140625" style="24"/>
    <col min="16" max="16" width="11" style="24" customWidth="1"/>
    <col min="17" max="16384" width="9.140625" style="24"/>
  </cols>
  <sheetData>
    <row r="1" spans="1:17" ht="31.5" customHeight="1">
      <c r="A1" s="622" t="s">
        <v>280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</row>
    <row r="2" spans="1:17" ht="21" customHeight="1">
      <c r="A2" s="623" t="s">
        <v>51</v>
      </c>
      <c r="B2" s="623" t="s">
        <v>314</v>
      </c>
      <c r="C2" s="623" t="s">
        <v>72</v>
      </c>
      <c r="D2" s="623"/>
      <c r="E2" s="623"/>
      <c r="F2" s="623"/>
      <c r="G2" s="623"/>
      <c r="H2" s="623" t="s">
        <v>73</v>
      </c>
      <c r="I2" s="623"/>
      <c r="J2" s="623"/>
      <c r="K2" s="623"/>
      <c r="L2" s="623"/>
      <c r="M2" s="609" t="s">
        <v>74</v>
      </c>
      <c r="N2" s="609"/>
      <c r="O2" s="609"/>
      <c r="P2" s="609"/>
      <c r="Q2" s="609"/>
    </row>
    <row r="3" spans="1:17" ht="31.5" customHeight="1">
      <c r="A3" s="623"/>
      <c r="B3" s="623"/>
      <c r="C3" s="72" t="s">
        <v>75</v>
      </c>
      <c r="D3" s="72" t="s">
        <v>76</v>
      </c>
      <c r="E3" s="72" t="s">
        <v>77</v>
      </c>
      <c r="F3" s="72" t="s">
        <v>78</v>
      </c>
      <c r="G3" s="72" t="s">
        <v>79</v>
      </c>
      <c r="H3" s="73" t="s">
        <v>55</v>
      </c>
      <c r="I3" s="73" t="s">
        <v>56</v>
      </c>
      <c r="J3" s="73" t="s">
        <v>7</v>
      </c>
      <c r="K3" s="73" t="s">
        <v>8</v>
      </c>
      <c r="L3" s="73" t="s">
        <v>9</v>
      </c>
      <c r="M3" s="457" t="s">
        <v>75</v>
      </c>
      <c r="N3" s="457" t="s">
        <v>76</v>
      </c>
      <c r="O3" s="457" t="s">
        <v>77</v>
      </c>
      <c r="P3" s="457" t="s">
        <v>80</v>
      </c>
      <c r="Q3" s="457" t="s">
        <v>79</v>
      </c>
    </row>
    <row r="4" spans="1:17" s="75" customFormat="1" ht="18" customHeight="1">
      <c r="A4" s="623"/>
      <c r="B4" s="127">
        <v>41129</v>
      </c>
      <c r="C4" s="72"/>
      <c r="D4" s="72"/>
      <c r="E4" s="72"/>
      <c r="F4" s="74"/>
      <c r="G4" s="74"/>
      <c r="H4" s="74"/>
      <c r="I4" s="74"/>
      <c r="J4" s="74"/>
      <c r="K4" s="74"/>
      <c r="L4" s="74"/>
      <c r="M4" s="458"/>
      <c r="N4" s="458"/>
      <c r="O4" s="458"/>
      <c r="P4" s="458"/>
      <c r="Q4" s="458"/>
    </row>
    <row r="5" spans="1:17" ht="21.75" customHeight="1">
      <c r="A5" s="13"/>
      <c r="B5" s="5" t="s">
        <v>13</v>
      </c>
      <c r="C5" s="9"/>
      <c r="D5" s="9"/>
      <c r="E5" s="9"/>
      <c r="F5" s="13"/>
      <c r="G5" s="13"/>
      <c r="H5" s="13"/>
      <c r="I5" s="13"/>
      <c r="J5" s="13"/>
      <c r="K5" s="13"/>
      <c r="L5" s="13"/>
      <c r="M5" s="459"/>
      <c r="N5" s="459"/>
      <c r="O5" s="459"/>
      <c r="P5" s="459"/>
      <c r="Q5" s="459"/>
    </row>
    <row r="6" spans="1:17" ht="21.75" customHeight="1">
      <c r="A6" s="12">
        <v>1</v>
      </c>
      <c r="B6" s="13" t="s">
        <v>59</v>
      </c>
      <c r="C6" s="63">
        <v>2573.9</v>
      </c>
      <c r="D6" s="63">
        <v>2931.64</v>
      </c>
      <c r="E6" s="63">
        <v>3143.8</v>
      </c>
      <c r="F6" s="18">
        <v>3321.41</v>
      </c>
      <c r="G6" s="18">
        <v>3577.33</v>
      </c>
      <c r="H6" s="18">
        <f ca="1">+'Fiscal Deficit (%GSDP)'!H6</f>
        <v>4810</v>
      </c>
      <c r="I6" s="18">
        <f ca="1">+'Fiscal Deficit (%GSDP)'!I6</f>
        <v>5687</v>
      </c>
      <c r="J6" s="18">
        <f ca="1">+'Fiscal Deficit (%GSDP)'!J6</f>
        <v>7085</v>
      </c>
      <c r="K6" s="18">
        <f ca="1">+'Fiscal Deficit (%GSDP)'!K6</f>
        <v>8233</v>
      </c>
      <c r="L6" s="18">
        <f ca="1">+'Fiscal Deficit (%GSDP)'!L6</f>
        <v>9357</v>
      </c>
      <c r="M6" s="444">
        <f>+C6/H6*100</f>
        <v>53.511434511434508</v>
      </c>
      <c r="N6" s="444">
        <f>+D6/I6*100</f>
        <v>51.549850536310885</v>
      </c>
      <c r="O6" s="444">
        <f>+E6/J6*100</f>
        <v>44.372618207480599</v>
      </c>
      <c r="P6" s="444">
        <f>+F6/K6*100</f>
        <v>40.342645451232841</v>
      </c>
      <c r="Q6" s="444">
        <f>+G6/L6*100</f>
        <v>38.231591322004917</v>
      </c>
    </row>
    <row r="7" spans="1:17" ht="21.75" customHeight="1">
      <c r="A7" s="12">
        <v>2</v>
      </c>
      <c r="B7" s="13" t="s">
        <v>15</v>
      </c>
      <c r="C7" s="63">
        <v>19673.73</v>
      </c>
      <c r="D7" s="63">
        <v>17837.7</v>
      </c>
      <c r="E7" s="63">
        <v>24896.85</v>
      </c>
      <c r="F7" s="18">
        <v>27628.28</v>
      </c>
      <c r="G7" s="18">
        <v>31044.41</v>
      </c>
      <c r="H7" s="18">
        <f ca="1">+'Fiscal Deficit (%GSDP)'!H7</f>
        <v>71076</v>
      </c>
      <c r="I7" s="18">
        <f ca="1">+'Fiscal Deficit (%GSDP)'!I7</f>
        <v>81074</v>
      </c>
      <c r="J7" s="18">
        <f ca="1">+'Fiscal Deficit (%GSDP)'!J7</f>
        <v>92737</v>
      </c>
      <c r="K7" s="18">
        <f ca="1">+'Fiscal Deficit (%GSDP)'!K7</f>
        <v>104015</v>
      </c>
      <c r="L7" s="18">
        <f ca="1">+'Fiscal Deficit (%GSDP)'!L7</f>
        <v>115408</v>
      </c>
      <c r="M7" s="444">
        <f t="shared" ref="M7:Q42" si="0">+C7/H7*100</f>
        <v>27.679849738308288</v>
      </c>
      <c r="N7" s="444">
        <f t="shared" si="0"/>
        <v>22.00175148629647</v>
      </c>
      <c r="O7" s="444">
        <f t="shared" si="0"/>
        <v>26.846727843255657</v>
      </c>
      <c r="P7" s="444">
        <f t="shared" si="0"/>
        <v>26.561822814017205</v>
      </c>
      <c r="Q7" s="444">
        <f t="shared" si="0"/>
        <v>26.899703660058229</v>
      </c>
    </row>
    <row r="8" spans="1:17" ht="21.75" customHeight="1">
      <c r="A8" s="12">
        <v>3</v>
      </c>
      <c r="B8" s="13" t="s">
        <v>16</v>
      </c>
      <c r="C8" s="63">
        <v>21213</v>
      </c>
      <c r="D8" s="63">
        <v>23150</v>
      </c>
      <c r="E8" s="63">
        <v>25101</v>
      </c>
      <c r="F8" s="18">
        <v>26887</v>
      </c>
      <c r="G8" s="18">
        <v>28529</v>
      </c>
      <c r="H8" s="18">
        <f ca="1">+'Fiscal Deficit (%GSDP)'!H8</f>
        <v>33963</v>
      </c>
      <c r="I8" s="18">
        <f ca="1">+'Fiscal Deficit (%GSDP)'!I8</f>
        <v>41483</v>
      </c>
      <c r="J8" s="18">
        <f ca="1">+'Fiscal Deficit (%GSDP)'!J8</f>
        <v>48189</v>
      </c>
      <c r="K8" s="18">
        <f ca="1">+'Fiscal Deficit (%GSDP)'!K8</f>
        <v>56119</v>
      </c>
      <c r="L8" s="18">
        <f ca="1">+'Fiscal Deficit (%GSDP)'!L8</f>
        <v>63331</v>
      </c>
      <c r="M8" s="444">
        <f t="shared" si="0"/>
        <v>62.459146718487766</v>
      </c>
      <c r="N8" s="444">
        <f t="shared" si="0"/>
        <v>55.805992816334403</v>
      </c>
      <c r="O8" s="444">
        <f t="shared" si="0"/>
        <v>52.088650936935807</v>
      </c>
      <c r="P8" s="444">
        <f t="shared" si="0"/>
        <v>47.910689784208557</v>
      </c>
      <c r="Q8" s="444">
        <f t="shared" si="0"/>
        <v>45.047449116546403</v>
      </c>
    </row>
    <row r="9" spans="1:17" ht="21.75" customHeight="1">
      <c r="A9" s="12">
        <v>4</v>
      </c>
      <c r="B9" s="13" t="s">
        <v>60</v>
      </c>
      <c r="C9" s="63">
        <v>14807.25</v>
      </c>
      <c r="D9" s="63">
        <v>17234.84</v>
      </c>
      <c r="E9" s="63">
        <v>25761.84</v>
      </c>
      <c r="F9" s="18">
        <v>31271.87</v>
      </c>
      <c r="G9" s="18">
        <v>35250.870000000003</v>
      </c>
      <c r="H9" s="18">
        <f ca="1">+'Fiscal Deficit (%GSDP)'!H9</f>
        <v>37099</v>
      </c>
      <c r="I9" s="18">
        <f ca="1">+'Fiscal Deficit (%GSDP)'!I9</f>
        <v>42315</v>
      </c>
      <c r="J9" s="18">
        <f ca="1">+'Fiscal Deficit (%GSDP)'!J9</f>
        <v>48382</v>
      </c>
      <c r="K9" s="18">
        <f ca="1">+'Fiscal Deficit (%GSDP)'!K9</f>
        <v>55446</v>
      </c>
      <c r="L9" s="18">
        <f ca="1">+'Fiscal Deficit (%GSDP)'!L9</f>
        <v>63589</v>
      </c>
      <c r="M9" s="444">
        <f t="shared" si="0"/>
        <v>39.912800884120863</v>
      </c>
      <c r="N9" s="444">
        <f t="shared" si="0"/>
        <v>40.729859387923909</v>
      </c>
      <c r="O9" s="444">
        <f t="shared" si="0"/>
        <v>53.246744657103882</v>
      </c>
      <c r="P9" s="444">
        <f t="shared" si="0"/>
        <v>56.400587959456047</v>
      </c>
      <c r="Q9" s="444">
        <f t="shared" si="0"/>
        <v>55.435484124612756</v>
      </c>
    </row>
    <row r="10" spans="1:17" ht="21.75" customHeight="1">
      <c r="A10" s="12">
        <v>5</v>
      </c>
      <c r="B10" s="13" t="s">
        <v>18</v>
      </c>
      <c r="C10" s="63">
        <v>4526.96</v>
      </c>
      <c r="D10" s="63">
        <v>4872.6000000000004</v>
      </c>
      <c r="E10" s="63">
        <v>5551.19</v>
      </c>
      <c r="F10" s="18">
        <v>6190.54</v>
      </c>
      <c r="G10" s="18">
        <v>7104.73</v>
      </c>
      <c r="H10" s="18">
        <f ca="1">+'Fiscal Deficit (%GSDP)'!H10</f>
        <v>6783</v>
      </c>
      <c r="I10" s="18">
        <f ca="1">+'Fiscal Deficit (%GSDP)'!I10</f>
        <v>7399</v>
      </c>
      <c r="J10" s="18">
        <f ca="1">+'Fiscal Deficit (%GSDP)'!J10</f>
        <v>8314</v>
      </c>
      <c r="K10" s="18">
        <f ca="1">+'Fiscal Deficit (%GSDP)'!K10</f>
        <v>9198</v>
      </c>
      <c r="L10" s="18">
        <f ca="1">+'Fiscal Deficit (%GSDP)'!L10</f>
        <v>10188</v>
      </c>
      <c r="M10" s="444">
        <f t="shared" si="0"/>
        <v>66.739790653103341</v>
      </c>
      <c r="N10" s="444">
        <f t="shared" si="0"/>
        <v>65.854845249358036</v>
      </c>
      <c r="O10" s="444">
        <f t="shared" si="0"/>
        <v>66.769184508058686</v>
      </c>
      <c r="P10" s="444">
        <f t="shared" si="0"/>
        <v>67.303109371602517</v>
      </c>
      <c r="Q10" s="444">
        <f t="shared" si="0"/>
        <v>69.736258343148791</v>
      </c>
    </row>
    <row r="11" spans="1:17" ht="21.75" customHeight="1">
      <c r="A11" s="12">
        <v>6</v>
      </c>
      <c r="B11" s="13" t="s">
        <v>19</v>
      </c>
      <c r="C11" s="63">
        <v>3139.39</v>
      </c>
      <c r="D11" s="63">
        <v>3571.59</v>
      </c>
      <c r="E11" s="63">
        <v>3801.06</v>
      </c>
      <c r="F11" s="18">
        <v>4086.45</v>
      </c>
      <c r="G11" s="18">
        <v>4622.29</v>
      </c>
      <c r="H11" s="18">
        <f ca="1">+'Fiscal Deficit (%GSDP)'!H11</f>
        <v>9735</v>
      </c>
      <c r="I11" s="18">
        <f ca="1">+'Fiscal Deficit (%GSDP)'!I11</f>
        <v>11617</v>
      </c>
      <c r="J11" s="18">
        <f ca="1">+'Fiscal Deficit (%GSDP)'!J11</f>
        <v>12709</v>
      </c>
      <c r="K11" s="18">
        <f ca="1">+'Fiscal Deficit (%GSDP)'!K11</f>
        <v>14086</v>
      </c>
      <c r="L11" s="18">
        <f ca="1">+'Fiscal Deficit (%GSDP)'!L11</f>
        <v>15895</v>
      </c>
      <c r="M11" s="444">
        <f t="shared" si="0"/>
        <v>32.24848484848485</v>
      </c>
      <c r="N11" s="444">
        <f t="shared" si="0"/>
        <v>30.744512352586728</v>
      </c>
      <c r="O11" s="444">
        <f t="shared" si="0"/>
        <v>29.908411362026911</v>
      </c>
      <c r="P11" s="444">
        <f t="shared" si="0"/>
        <v>29.010719863694444</v>
      </c>
      <c r="Q11" s="444">
        <f t="shared" si="0"/>
        <v>29.080150990877634</v>
      </c>
    </row>
    <row r="12" spans="1:17" ht="21.75" customHeight="1">
      <c r="A12" s="12">
        <v>7</v>
      </c>
      <c r="B12" s="13" t="s">
        <v>20</v>
      </c>
      <c r="C12" s="63">
        <v>3062.46</v>
      </c>
      <c r="D12" s="63">
        <v>3259.82</v>
      </c>
      <c r="E12" s="63">
        <v>3163.95</v>
      </c>
      <c r="F12" s="18">
        <v>3410.21</v>
      </c>
      <c r="G12" s="18">
        <v>3580.72</v>
      </c>
      <c r="H12" s="18">
        <f ca="1">+'Fiscal Deficit (%GSDP)'!H12</f>
        <v>3816</v>
      </c>
      <c r="I12" s="18">
        <f ca="1">+'Fiscal Deficit (%GSDP)'!I12</f>
        <v>4577</v>
      </c>
      <c r="J12" s="18">
        <f ca="1">+'Fiscal Deficit (%GSDP)'!J12</f>
        <v>5260</v>
      </c>
      <c r="K12" s="18">
        <f ca="1">+'Fiscal Deficit (%GSDP)'!K12</f>
        <v>6058</v>
      </c>
      <c r="L12" s="18">
        <f ca="1">+'Fiscal Deficit (%GSDP)'!L12</f>
        <v>6666.8290000000006</v>
      </c>
      <c r="M12" s="444">
        <f t="shared" si="0"/>
        <v>80.253144654088047</v>
      </c>
      <c r="N12" s="444">
        <f t="shared" si="0"/>
        <v>71.221760978807083</v>
      </c>
      <c r="O12" s="444">
        <f t="shared" si="0"/>
        <v>60.151140684410642</v>
      </c>
      <c r="P12" s="444">
        <f t="shared" si="0"/>
        <v>56.292670848464844</v>
      </c>
      <c r="Q12" s="444">
        <f t="shared" si="0"/>
        <v>53.709492173865556</v>
      </c>
    </row>
    <row r="13" spans="1:17" ht="21.75" customHeight="1">
      <c r="A13" s="12">
        <v>8</v>
      </c>
      <c r="B13" s="13" t="s">
        <v>21</v>
      </c>
      <c r="C13" s="63">
        <v>3884.11</v>
      </c>
      <c r="D13" s="63">
        <v>4571.7</v>
      </c>
      <c r="E13" s="63">
        <v>5139.47</v>
      </c>
      <c r="F13" s="18">
        <v>5221.67</v>
      </c>
      <c r="G13" s="18">
        <v>5446.67</v>
      </c>
      <c r="H13" s="18">
        <f ca="1">+'Fiscal Deficit (%GSDP)'!H13</f>
        <v>8075</v>
      </c>
      <c r="I13" s="18">
        <f ca="1">+'Fiscal Deficit (%GSDP)'!I13</f>
        <v>9436</v>
      </c>
      <c r="J13" s="18">
        <f ca="1">+'Fiscal Deficit (%GSDP)'!J13</f>
        <v>10507</v>
      </c>
      <c r="K13" s="18">
        <f ca="1">+'Fiscal Deficit (%GSDP)'!K13</f>
        <v>11190</v>
      </c>
      <c r="L13" s="18">
        <f ca="1">+'Fiscal Deficit (%GSDP)'!L13</f>
        <v>12134</v>
      </c>
      <c r="M13" s="444">
        <f t="shared" si="0"/>
        <v>48.100433436532505</v>
      </c>
      <c r="N13" s="444">
        <f t="shared" si="0"/>
        <v>48.44955489614243</v>
      </c>
      <c r="O13" s="444">
        <f t="shared" si="0"/>
        <v>48.914723517654899</v>
      </c>
      <c r="P13" s="444">
        <f t="shared" si="0"/>
        <v>46.663717605004464</v>
      </c>
      <c r="Q13" s="444">
        <f t="shared" si="0"/>
        <v>44.887671007087519</v>
      </c>
    </row>
    <row r="14" spans="1:17" ht="21.75" customHeight="1">
      <c r="A14" s="12">
        <v>9</v>
      </c>
      <c r="B14" s="13" t="s">
        <v>22</v>
      </c>
      <c r="C14" s="63">
        <v>1561.59</v>
      </c>
      <c r="D14" s="63">
        <v>1852.05</v>
      </c>
      <c r="E14" s="63">
        <v>2203.44</v>
      </c>
      <c r="F14" s="18">
        <v>2349.88</v>
      </c>
      <c r="G14" s="18">
        <v>2495.0300000000002</v>
      </c>
      <c r="H14" s="18">
        <f ca="1">+'Fiscal Deficit (%GSDP)'!H14</f>
        <v>2506</v>
      </c>
      <c r="I14" s="18">
        <f ca="1">+'Fiscal Deficit (%GSDP)'!I14</f>
        <v>3229</v>
      </c>
      <c r="J14" s="18">
        <f ca="1">+'Fiscal Deficit (%GSDP)'!J14</f>
        <v>6133</v>
      </c>
      <c r="K14" s="18">
        <f ca="1">+'Fiscal Deficit (%GSDP)'!K14</f>
        <v>7145</v>
      </c>
      <c r="L14" s="18">
        <f ca="1">+'Fiscal Deficit (%GSDP)'!L14</f>
        <v>8400</v>
      </c>
      <c r="M14" s="444">
        <f t="shared" si="0"/>
        <v>62.314046288906624</v>
      </c>
      <c r="N14" s="444">
        <f t="shared" si="0"/>
        <v>57.356766800867142</v>
      </c>
      <c r="O14" s="444">
        <f t="shared" si="0"/>
        <v>35.927604761128322</v>
      </c>
      <c r="P14" s="444">
        <f t="shared" si="0"/>
        <v>32.888453463960815</v>
      </c>
      <c r="Q14" s="444">
        <f t="shared" si="0"/>
        <v>29.702738095238097</v>
      </c>
    </row>
    <row r="15" spans="1:17" ht="21.75" customHeight="1">
      <c r="A15" s="12">
        <v>10</v>
      </c>
      <c r="B15" s="13" t="s">
        <v>23</v>
      </c>
      <c r="C15" s="63">
        <v>4497.42</v>
      </c>
      <c r="D15" s="63">
        <v>4612.42</v>
      </c>
      <c r="E15" s="63">
        <v>5211.3900000000003</v>
      </c>
      <c r="F15" s="18">
        <v>5768.42</v>
      </c>
      <c r="G15" s="18">
        <v>5471.96</v>
      </c>
      <c r="H15" s="18">
        <f ca="1">+'Fiscal Deficit (%GSDP)'!H15</f>
        <v>11797</v>
      </c>
      <c r="I15" s="18">
        <f ca="1">+'Fiscal Deficit (%GSDP)'!I15</f>
        <v>13573</v>
      </c>
      <c r="J15" s="18">
        <f ca="1">+'Fiscal Deficit (%GSDP)'!J15</f>
        <v>15348</v>
      </c>
      <c r="K15" s="18">
        <f ca="1">+'Fiscal Deficit (%GSDP)'!K15</f>
        <v>17387</v>
      </c>
      <c r="L15" s="18">
        <f ca="1">+'Fiscal Deficit (%GSDP)'!L15</f>
        <v>19731</v>
      </c>
      <c r="M15" s="444">
        <f t="shared" si="0"/>
        <v>38.123421208781892</v>
      </c>
      <c r="N15" s="444">
        <f t="shared" si="0"/>
        <v>33.982317836882046</v>
      </c>
      <c r="O15" s="444">
        <f t="shared" si="0"/>
        <v>33.954847537138392</v>
      </c>
      <c r="P15" s="444">
        <f t="shared" si="0"/>
        <v>33.176626214988211</v>
      </c>
      <c r="Q15" s="444">
        <f t="shared" si="0"/>
        <v>27.73280624398155</v>
      </c>
    </row>
    <row r="16" spans="1:17" ht="21.75" customHeight="1">
      <c r="A16" s="12">
        <v>11</v>
      </c>
      <c r="B16" s="13" t="s">
        <v>24</v>
      </c>
      <c r="C16" s="63">
        <v>13037.5</v>
      </c>
      <c r="D16" s="63">
        <v>14443.4</v>
      </c>
      <c r="E16" s="63">
        <v>17029.5</v>
      </c>
      <c r="F16" s="18">
        <v>19438.099999999999</v>
      </c>
      <c r="G16" s="18">
        <v>21720.3</v>
      </c>
      <c r="H16" s="18">
        <f ca="1">+'Fiscal Deficit (%GSDP)'!H16</f>
        <v>45856</v>
      </c>
      <c r="I16" s="18">
        <f ca="1">+'Fiscal Deficit (%GSDP)'!I16</f>
        <v>56025</v>
      </c>
      <c r="J16" s="18">
        <f ca="1">+'Fiscal Deficit (%GSDP)'!J16</f>
        <v>70855</v>
      </c>
      <c r="K16" s="18">
        <f ca="1">+'Fiscal Deficit (%GSDP)'!K16</f>
        <v>82460</v>
      </c>
      <c r="L16" s="18">
        <f ca="1">+'Fiscal Deficit (%GSDP)'!L16</f>
        <v>95201</v>
      </c>
      <c r="M16" s="444">
        <f t="shared" si="0"/>
        <v>28.431393928820658</v>
      </c>
      <c r="N16" s="444">
        <f t="shared" si="0"/>
        <v>25.780276662204372</v>
      </c>
      <c r="O16" s="444">
        <f t="shared" si="0"/>
        <v>24.034295391997741</v>
      </c>
      <c r="P16" s="444">
        <f t="shared" si="0"/>
        <v>23.572762551540137</v>
      </c>
      <c r="Q16" s="444">
        <f t="shared" si="0"/>
        <v>22.815201520992424</v>
      </c>
    </row>
    <row r="17" spans="1:17" s="75" customFormat="1" ht="21.75" customHeight="1">
      <c r="A17" s="5"/>
      <c r="B17" s="5" t="s">
        <v>81</v>
      </c>
      <c r="C17" s="419">
        <f>SUM(C6:C16)</f>
        <v>91977.310000000012</v>
      </c>
      <c r="D17" s="419">
        <f>SUM(D6:D16)</f>
        <v>98337.76</v>
      </c>
      <c r="E17" s="419">
        <f>SUM(E6:E16)</f>
        <v>121003.48999999999</v>
      </c>
      <c r="F17" s="419">
        <f>SUM(F6:F16)</f>
        <v>135573.82999999999</v>
      </c>
      <c r="G17" s="419">
        <f>SUM(G6:G16)</f>
        <v>148843.31</v>
      </c>
      <c r="H17" s="78">
        <f ca="1">+'[5]Fiscal Deficit (%GSDP)'!H17</f>
        <v>235516</v>
      </c>
      <c r="I17" s="78">
        <f ca="1">+'[5]Fiscal Deficit (%GSDP)'!I17</f>
        <v>276432</v>
      </c>
      <c r="J17" s="78">
        <f ca="1">+'[5]Fiscal Deficit (%GSDP)'!J17</f>
        <v>318563</v>
      </c>
      <c r="K17" s="78">
        <f ca="1">+'[5]Fiscal Deficit (%GSDP)'!K17</f>
        <v>361701</v>
      </c>
      <c r="L17" s="78">
        <f ca="1">+'[5]Fiscal Deficit (%GSDP)'!L17</f>
        <v>409946.41860000003</v>
      </c>
      <c r="M17" s="460">
        <f t="shared" si="0"/>
        <v>39.053529271896608</v>
      </c>
      <c r="N17" s="460">
        <f t="shared" si="0"/>
        <v>35.573942235341782</v>
      </c>
      <c r="O17" s="460">
        <f t="shared" si="0"/>
        <v>37.984163258131041</v>
      </c>
      <c r="P17" s="460">
        <f t="shared" si="0"/>
        <v>37.482293385973492</v>
      </c>
      <c r="Q17" s="460">
        <f t="shared" si="0"/>
        <v>36.30799130001229</v>
      </c>
    </row>
    <row r="18" spans="1:17" s="75" customFormat="1" ht="21.75" customHeight="1">
      <c r="A18" s="5"/>
      <c r="B18" s="5" t="s">
        <v>26</v>
      </c>
      <c r="C18" s="419"/>
      <c r="D18" s="419"/>
      <c r="E18" s="419"/>
      <c r="F18" s="78"/>
      <c r="G18" s="78"/>
      <c r="H18" s="18"/>
      <c r="I18" s="18"/>
      <c r="J18" s="18"/>
      <c r="K18" s="18"/>
      <c r="L18" s="18"/>
      <c r="M18" s="444"/>
      <c r="N18" s="444"/>
      <c r="O18" s="444"/>
      <c r="P18" s="444"/>
      <c r="Q18" s="444"/>
    </row>
    <row r="19" spans="1:17" ht="21.75" customHeight="1">
      <c r="A19" s="12">
        <v>12</v>
      </c>
      <c r="B19" s="13" t="s">
        <v>27</v>
      </c>
      <c r="C19" s="63">
        <v>82478.960000000006</v>
      </c>
      <c r="D19" s="63">
        <v>93568.24</v>
      </c>
      <c r="E19" s="63">
        <v>108005.7</v>
      </c>
      <c r="F19" s="18">
        <v>120449.55</v>
      </c>
      <c r="G19" s="18">
        <v>141045.42000000001</v>
      </c>
      <c r="H19" s="18">
        <f ca="1">+'Fiscal Deficit (%GSDP)'!H19</f>
        <v>364813</v>
      </c>
      <c r="I19" s="18">
        <f ca="1">+'Fiscal Deficit (%GSDP)'!I19</f>
        <v>426765</v>
      </c>
      <c r="J19" s="18">
        <f ca="1">+'Fiscal Deficit (%GSDP)'!J19</f>
        <v>490411</v>
      </c>
      <c r="K19" s="18">
        <f ca="1">+'Fiscal Deficit (%GSDP)'!K19</f>
        <v>588963</v>
      </c>
      <c r="L19" s="18">
        <f ca="1">+'Fiscal Deficit (%GSDP)'!L19</f>
        <v>675798</v>
      </c>
      <c r="M19" s="444">
        <f t="shared" si="0"/>
        <v>22.608558357295383</v>
      </c>
      <c r="N19" s="444">
        <f t="shared" si="0"/>
        <v>21.925003221913698</v>
      </c>
      <c r="O19" s="444">
        <f t="shared" si="0"/>
        <v>22.023506813672615</v>
      </c>
      <c r="P19" s="444">
        <f t="shared" si="0"/>
        <v>20.451123415223027</v>
      </c>
      <c r="Q19" s="444">
        <f t="shared" si="0"/>
        <v>20.870943684355385</v>
      </c>
    </row>
    <row r="20" spans="1:17" ht="21.75" customHeight="1">
      <c r="A20" s="12">
        <v>13</v>
      </c>
      <c r="B20" s="13" t="s">
        <v>28</v>
      </c>
      <c r="C20" s="63">
        <v>44474.64</v>
      </c>
      <c r="D20" s="63">
        <v>48864.639999999999</v>
      </c>
      <c r="E20" s="63">
        <v>52753.19</v>
      </c>
      <c r="F20" s="18">
        <v>56848.28</v>
      </c>
      <c r="G20" s="18">
        <v>63103.32</v>
      </c>
      <c r="H20" s="18">
        <f ca="1">+'Fiscal Deficit (%GSDP)'!H20</f>
        <v>113680</v>
      </c>
      <c r="I20" s="18">
        <f ca="1">+'Fiscal Deficit (%GSDP)'!I20</f>
        <v>142279</v>
      </c>
      <c r="J20" s="18">
        <f ca="1">+'Fiscal Deficit (%GSDP)'!J20</f>
        <v>163800</v>
      </c>
      <c r="K20" s="18">
        <f ca="1">+'Fiscal Deficit (%GSDP)'!K20</f>
        <v>201856</v>
      </c>
      <c r="L20" s="18">
        <f ca="1">+'Fiscal Deficit (%GSDP)'!L20</f>
        <v>252694</v>
      </c>
      <c r="M20" s="444">
        <f t="shared" si="0"/>
        <v>39.122660098522168</v>
      </c>
      <c r="N20" s="444">
        <f t="shared" si="0"/>
        <v>34.344239135782509</v>
      </c>
      <c r="O20" s="444">
        <f t="shared" si="0"/>
        <v>32.205854700854701</v>
      </c>
      <c r="P20" s="444">
        <f t="shared" si="0"/>
        <v>28.162789315155358</v>
      </c>
      <c r="Q20" s="444">
        <f t="shared" si="0"/>
        <v>24.972227278843189</v>
      </c>
    </row>
    <row r="21" spans="1:17" ht="21.75" customHeight="1">
      <c r="A21" s="12">
        <v>14</v>
      </c>
      <c r="B21" s="13" t="s">
        <v>29</v>
      </c>
      <c r="C21" s="63">
        <v>12108.23</v>
      </c>
      <c r="D21" s="63">
        <v>14777.31</v>
      </c>
      <c r="E21" s="63">
        <v>15936.62</v>
      </c>
      <c r="F21" s="18">
        <v>16696.990000000002</v>
      </c>
      <c r="G21" s="18">
        <v>22179.86</v>
      </c>
      <c r="H21" s="18">
        <f ca="1">+'Fiscal Deficit (%GSDP)'!H21</f>
        <v>80255</v>
      </c>
      <c r="I21" s="18">
        <f ca="1">+'Fiscal Deficit (%GSDP)'!I21</f>
        <v>96972</v>
      </c>
      <c r="J21" s="18">
        <f ca="1">+'Fiscal Deficit (%GSDP)'!J21</f>
        <v>99262</v>
      </c>
      <c r="K21" s="18">
        <f ca="1">+'Fiscal Deficit (%GSDP)'!K21</f>
        <v>117567</v>
      </c>
      <c r="L21" s="18">
        <f ca="1">+'Fiscal Deficit (%GSDP)'!L21</f>
        <v>135536</v>
      </c>
      <c r="M21" s="444">
        <f t="shared" si="0"/>
        <v>15.087197059373247</v>
      </c>
      <c r="N21" s="444">
        <f t="shared" si="0"/>
        <v>15.238739017448335</v>
      </c>
      <c r="O21" s="444">
        <f t="shared" si="0"/>
        <v>16.055106687352662</v>
      </c>
      <c r="P21" s="444">
        <f t="shared" si="0"/>
        <v>14.202106033155564</v>
      </c>
      <c r="Q21" s="444">
        <f t="shared" si="0"/>
        <v>16.364552591193483</v>
      </c>
    </row>
    <row r="22" spans="1:17" ht="21.75" customHeight="1">
      <c r="A22" s="12">
        <v>15</v>
      </c>
      <c r="B22" s="13" t="s">
        <v>30</v>
      </c>
      <c r="C22" s="63">
        <v>5075.46</v>
      </c>
      <c r="D22" s="63">
        <v>5623.03</v>
      </c>
      <c r="E22" s="63">
        <v>6077.33</v>
      </c>
      <c r="F22" s="18">
        <v>6614.14</v>
      </c>
      <c r="G22" s="18">
        <v>7414</v>
      </c>
      <c r="H22" s="18">
        <f ca="1">+'Fiscal Deficit (%GSDP)'!H22</f>
        <v>19565</v>
      </c>
      <c r="I22" s="18">
        <f ca="1">+'Fiscal Deficit (%GSDP)'!I22</f>
        <v>25414</v>
      </c>
      <c r="J22" s="18">
        <f ca="1">+'Fiscal Deficit (%GSDP)'!J22</f>
        <v>29126</v>
      </c>
      <c r="K22" s="18">
        <f ca="1">+'Fiscal Deficit (%GSDP)'!K22</f>
        <v>32563</v>
      </c>
      <c r="L22" s="18">
        <f ca="1">+'Fiscal Deficit (%GSDP)'!L22</f>
        <v>44460</v>
      </c>
      <c r="M22" s="444">
        <f t="shared" si="0"/>
        <v>25.941528239202661</v>
      </c>
      <c r="N22" s="444">
        <f t="shared" si="0"/>
        <v>22.125718108129377</v>
      </c>
      <c r="O22" s="444">
        <f t="shared" si="0"/>
        <v>20.865652681453</v>
      </c>
      <c r="P22" s="444">
        <f t="shared" si="0"/>
        <v>20.311826305930044</v>
      </c>
      <c r="Q22" s="444">
        <f t="shared" si="0"/>
        <v>16.675663517768783</v>
      </c>
    </row>
    <row r="23" spans="1:17" ht="21.75" customHeight="1">
      <c r="A23" s="12">
        <v>16</v>
      </c>
      <c r="B23" s="13" t="s">
        <v>31</v>
      </c>
      <c r="C23" s="63">
        <v>88491</v>
      </c>
      <c r="D23" s="63">
        <v>105651</v>
      </c>
      <c r="E23" s="63">
        <v>119115</v>
      </c>
      <c r="F23" s="18">
        <v>135256</v>
      </c>
      <c r="G23" s="18">
        <v>135256</v>
      </c>
      <c r="H23" s="18">
        <f ca="1">+'Fiscal Deficit (%GSDP)'!H23</f>
        <v>329285</v>
      </c>
      <c r="I23" s="18">
        <f ca="1">+'Fiscal Deficit (%GSDP)'!I23</f>
        <v>367912</v>
      </c>
      <c r="J23" s="18">
        <f ca="1">+'Fiscal Deficit (%GSDP)'!J23</f>
        <v>427555</v>
      </c>
      <c r="K23" s="18">
        <f ca="1">+'Fiscal Deficit (%GSDP)'!K23</f>
        <v>513173</v>
      </c>
      <c r="L23" s="18">
        <f ca="1">+'Fiscal Deficit (%GSDP)'!L23</f>
        <v>586300.15250000008</v>
      </c>
      <c r="M23" s="444">
        <f t="shared" si="0"/>
        <v>26.873680853971482</v>
      </c>
      <c r="N23" s="444">
        <f t="shared" si="0"/>
        <v>28.716377829480962</v>
      </c>
      <c r="O23" s="444">
        <f t="shared" si="0"/>
        <v>27.859573622107099</v>
      </c>
      <c r="P23" s="444">
        <f t="shared" si="0"/>
        <v>26.35680365101048</v>
      </c>
      <c r="Q23" s="444">
        <f t="shared" si="0"/>
        <v>23.069412386004792</v>
      </c>
    </row>
    <row r="24" spans="1:17" ht="21.75" customHeight="1">
      <c r="A24" s="12">
        <v>17</v>
      </c>
      <c r="B24" s="13" t="s">
        <v>32</v>
      </c>
      <c r="C24" s="63">
        <v>28649</v>
      </c>
      <c r="D24" s="63">
        <v>31817</v>
      </c>
      <c r="E24" s="63">
        <v>39230</v>
      </c>
      <c r="F24" s="18">
        <v>46443</v>
      </c>
      <c r="G24" s="18">
        <v>52702</v>
      </c>
      <c r="H24" s="18">
        <f ca="1">+'Fiscal Deficit (%GSDP)'!H24</f>
        <v>151593</v>
      </c>
      <c r="I24" s="18">
        <f ca="1">+'Fiscal Deficit (%GSDP)'!I24</f>
        <v>182481</v>
      </c>
      <c r="J24" s="18">
        <f ca="1">+'Fiscal Deficit (%GSDP)'!J24</f>
        <v>223567</v>
      </c>
      <c r="K24" s="18">
        <f ca="1">+'Fiscal Deficit (%GSDP)'!K24</f>
        <v>263975</v>
      </c>
      <c r="L24" s="18">
        <f ca="1">+'Fiscal Deficit (%GSDP)'!L24</f>
        <v>308943</v>
      </c>
      <c r="M24" s="444">
        <f t="shared" si="0"/>
        <v>18.898629883965619</v>
      </c>
      <c r="N24" s="444">
        <f t="shared" si="0"/>
        <v>17.435787835445883</v>
      </c>
      <c r="O24" s="444">
        <f t="shared" si="0"/>
        <v>17.547312438776743</v>
      </c>
      <c r="P24" s="444">
        <f t="shared" si="0"/>
        <v>17.593711525712664</v>
      </c>
      <c r="Q24" s="444">
        <f t="shared" si="0"/>
        <v>17.058810201234532</v>
      </c>
    </row>
    <row r="25" spans="1:17" ht="21.75" customHeight="1">
      <c r="A25" s="12">
        <v>18</v>
      </c>
      <c r="B25" s="13" t="s">
        <v>33</v>
      </c>
      <c r="C25" s="63">
        <v>20643.5</v>
      </c>
      <c r="D25" s="63">
        <v>22572.05</v>
      </c>
      <c r="E25" s="63">
        <v>25057.8</v>
      </c>
      <c r="F25" s="18">
        <v>29070.720000000001</v>
      </c>
      <c r="G25" s="18">
        <v>34192.54</v>
      </c>
      <c r="H25" s="18">
        <f ca="1">+'Fiscal Deficit (%GSDP)'!H25</f>
        <v>83950</v>
      </c>
      <c r="I25" s="18">
        <f ca="1">+'Fiscal Deficit (%GSDP)'!I25</f>
        <v>87794</v>
      </c>
      <c r="J25" s="18">
        <f ca="1">+'Fiscal Deficit (%GSDP)'!J25</f>
        <v>100621</v>
      </c>
      <c r="K25" s="18">
        <f ca="1">+'Fiscal Deficit (%GSDP)'!K25</f>
        <v>115535</v>
      </c>
      <c r="L25" s="18">
        <f ca="1">+'Fiscal Deficit (%GSDP)'!L25</f>
        <v>130505</v>
      </c>
      <c r="M25" s="444">
        <f t="shared" si="0"/>
        <v>24.590232281119714</v>
      </c>
      <c r="N25" s="444">
        <f t="shared" si="0"/>
        <v>25.710242157778435</v>
      </c>
      <c r="O25" s="444">
        <f t="shared" si="0"/>
        <v>24.903151429622046</v>
      </c>
      <c r="P25" s="444">
        <f t="shared" si="0"/>
        <v>25.161829748561043</v>
      </c>
      <c r="Q25" s="444">
        <f t="shared" si="0"/>
        <v>26.200176238458294</v>
      </c>
    </row>
    <row r="26" spans="1:17" ht="21.75" customHeight="1">
      <c r="A26" s="12">
        <v>19</v>
      </c>
      <c r="B26" s="13" t="s">
        <v>34</v>
      </c>
      <c r="C26" s="63">
        <v>60143</v>
      </c>
      <c r="D26" s="63">
        <v>71550</v>
      </c>
      <c r="E26" s="63">
        <v>83482</v>
      </c>
      <c r="F26" s="18">
        <v>91943</v>
      </c>
      <c r="G26" s="18">
        <v>101196</v>
      </c>
      <c r="H26" s="18">
        <f ca="1">+'Fiscal Deficit (%GSDP)'!H26</f>
        <v>270629</v>
      </c>
      <c r="I26" s="18">
        <f ca="1">+'Fiscal Deficit (%GSDP)'!I26</f>
        <v>310312</v>
      </c>
      <c r="J26" s="18">
        <f ca="1">+'Fiscal Deficit (%GSDP)'!J26</f>
        <v>337516</v>
      </c>
      <c r="K26" s="18">
        <f ca="1">+'Fiscal Deficit (%GSDP)'!K26</f>
        <v>399347</v>
      </c>
      <c r="L26" s="18">
        <f ca="1">+'Fiscal Deficit (%GSDP)'!L26</f>
        <v>458903</v>
      </c>
      <c r="M26" s="444">
        <f t="shared" si="0"/>
        <v>22.223412864105473</v>
      </c>
      <c r="N26" s="444">
        <f t="shared" si="0"/>
        <v>23.057438964654928</v>
      </c>
      <c r="O26" s="444">
        <f t="shared" si="0"/>
        <v>24.734234821460316</v>
      </c>
      <c r="P26" s="444">
        <f t="shared" si="0"/>
        <v>23.023335595359423</v>
      </c>
      <c r="Q26" s="444">
        <f t="shared" si="0"/>
        <v>22.051718990723529</v>
      </c>
    </row>
    <row r="27" spans="1:17" ht="21.75" customHeight="1">
      <c r="A27" s="12">
        <v>20</v>
      </c>
      <c r="B27" s="13" t="s">
        <v>35</v>
      </c>
      <c r="C27" s="63">
        <v>55409.57</v>
      </c>
      <c r="D27" s="63">
        <v>63269.68</v>
      </c>
      <c r="E27" s="63">
        <v>70969.75</v>
      </c>
      <c r="F27" s="18">
        <v>78673.23</v>
      </c>
      <c r="G27" s="18">
        <v>91001.59</v>
      </c>
      <c r="H27" s="18">
        <f ca="1">+'Fiscal Deficit (%GSDP)'!H27</f>
        <v>175141</v>
      </c>
      <c r="I27" s="18">
        <f ca="1">+'Fiscal Deficit (%GSDP)'!I27</f>
        <v>202783</v>
      </c>
      <c r="J27" s="18">
        <f ca="1">+'Fiscal Deficit (%GSDP)'!J27</f>
        <v>232381</v>
      </c>
      <c r="K27" s="18">
        <f ca="1">+'Fiscal Deficit (%GSDP)'!K27</f>
        <v>276997</v>
      </c>
      <c r="L27" s="18">
        <f ca="1">+'Fiscal Deficit (%GSDP)'!L27</f>
        <v>326693</v>
      </c>
      <c r="M27" s="444">
        <f t="shared" si="0"/>
        <v>31.637120948264542</v>
      </c>
      <c r="N27" s="444">
        <f t="shared" si="0"/>
        <v>31.200682502971155</v>
      </c>
      <c r="O27" s="444">
        <f t="shared" si="0"/>
        <v>30.540255012242824</v>
      </c>
      <c r="P27" s="444">
        <f t="shared" si="0"/>
        <v>28.402195691650089</v>
      </c>
      <c r="Q27" s="444">
        <f t="shared" si="0"/>
        <v>27.855384106791391</v>
      </c>
    </row>
    <row r="28" spans="1:17" ht="21.75" customHeight="1">
      <c r="A28" s="12">
        <v>21</v>
      </c>
      <c r="B28" s="13" t="s">
        <v>36</v>
      </c>
      <c r="C28" s="63">
        <v>60889.85</v>
      </c>
      <c r="D28" s="63">
        <v>64156.28</v>
      </c>
      <c r="E28" s="63">
        <v>61531.99</v>
      </c>
      <c r="F28" s="18">
        <v>67962.490000000005</v>
      </c>
      <c r="G28" s="18">
        <v>76019.759999999995</v>
      </c>
      <c r="H28" s="18">
        <f ca="1">+'Fiscal Deficit (%GSDP)'!H28</f>
        <v>161479</v>
      </c>
      <c r="I28" s="18">
        <f ca="1">+'Fiscal Deficit (%GSDP)'!I28</f>
        <v>197276</v>
      </c>
      <c r="J28" s="18">
        <f ca="1">+'Fiscal Deficit (%GSDP)'!J28</f>
        <v>227984</v>
      </c>
      <c r="K28" s="18">
        <f ca="1">+'Fiscal Deficit (%GSDP)'!K28</f>
        <v>260403</v>
      </c>
      <c r="L28" s="18">
        <f ca="1">+'Fiscal Deficit (%GSDP)'!L28</f>
        <v>315387</v>
      </c>
      <c r="M28" s="444">
        <f t="shared" si="0"/>
        <v>37.707596653434813</v>
      </c>
      <c r="N28" s="444">
        <f t="shared" si="0"/>
        <v>32.521077069689163</v>
      </c>
      <c r="O28" s="444">
        <f t="shared" si="0"/>
        <v>26.989608919924201</v>
      </c>
      <c r="P28" s="444">
        <f t="shared" si="0"/>
        <v>26.098965833726957</v>
      </c>
      <c r="Q28" s="444">
        <f t="shared" si="0"/>
        <v>24.103644094398309</v>
      </c>
    </row>
    <row r="29" spans="1:17" ht="21.75" customHeight="1">
      <c r="A29" s="12">
        <v>22</v>
      </c>
      <c r="B29" s="13" t="s">
        <v>37</v>
      </c>
      <c r="C29" s="63">
        <v>142382.59</v>
      </c>
      <c r="D29" s="63">
        <v>160672.54</v>
      </c>
      <c r="E29" s="63">
        <v>181447.34</v>
      </c>
      <c r="F29" s="18">
        <v>202331.93</v>
      </c>
      <c r="G29" s="18">
        <v>226926.48</v>
      </c>
      <c r="H29" s="18">
        <f ca="1">+'Fiscal Deficit (%GSDP)'!H29</f>
        <v>679004</v>
      </c>
      <c r="I29" s="18">
        <f ca="1">+'Fiscal Deficit (%GSDP)'!I29</f>
        <v>756334</v>
      </c>
      <c r="J29" s="18">
        <f ca="1">+'Fiscal Deficit (%GSDP)'!J29</f>
        <v>901330</v>
      </c>
      <c r="K29" s="18">
        <f ca="1">+'Fiscal Deficit (%GSDP)'!K29</f>
        <v>1029621</v>
      </c>
      <c r="L29" s="18">
        <f ca="1">+'Fiscal Deficit (%GSDP)'!L29</f>
        <v>1180302</v>
      </c>
      <c r="M29" s="444">
        <f t="shared" si="0"/>
        <v>20.969330077584225</v>
      </c>
      <c r="N29" s="444">
        <f t="shared" si="0"/>
        <v>21.243596083211916</v>
      </c>
      <c r="O29" s="444">
        <f t="shared" si="0"/>
        <v>20.131066313115063</v>
      </c>
      <c r="P29" s="444">
        <f t="shared" si="0"/>
        <v>19.651107543455311</v>
      </c>
      <c r="Q29" s="444">
        <f t="shared" si="0"/>
        <v>19.226137039503449</v>
      </c>
    </row>
    <row r="30" spans="1:17" ht="21.75" customHeight="1">
      <c r="A30" s="12">
        <v>23</v>
      </c>
      <c r="B30" s="13" t="s">
        <v>104</v>
      </c>
      <c r="C30" s="63">
        <v>43660.69</v>
      </c>
      <c r="D30" s="63">
        <v>44555.24</v>
      </c>
      <c r="E30" s="63">
        <v>45812.83</v>
      </c>
      <c r="F30" s="18">
        <v>47219.7</v>
      </c>
      <c r="G30" s="18">
        <v>51319.51</v>
      </c>
      <c r="H30" s="18">
        <f ca="1">+'Fiscal Deficit (%GSDP)'!H30</f>
        <v>129274</v>
      </c>
      <c r="I30" s="18">
        <f ca="1">+'Fiscal Deficit (%GSDP)'!I30</f>
        <v>148491</v>
      </c>
      <c r="J30" s="18">
        <f ca="1">+'Fiscal Deficit (%GSDP)'!J30</f>
        <v>163727</v>
      </c>
      <c r="K30" s="18">
        <f ca="1">+'Fiscal Deficit (%GSDP)'!K30</f>
        <v>195028</v>
      </c>
      <c r="L30" s="18">
        <f ca="1">+'Fiscal Deficit (%GSDP)'!L30</f>
        <v>226236</v>
      </c>
      <c r="M30" s="444">
        <f t="shared" si="0"/>
        <v>33.773759611368106</v>
      </c>
      <c r="N30" s="444">
        <f t="shared" si="0"/>
        <v>30.005347125415007</v>
      </c>
      <c r="O30" s="444">
        <f t="shared" si="0"/>
        <v>27.98123095152296</v>
      </c>
      <c r="P30" s="444">
        <f t="shared" si="0"/>
        <v>24.211754209651946</v>
      </c>
      <c r="Q30" s="444">
        <f t="shared" si="0"/>
        <v>22.684060008133102</v>
      </c>
    </row>
    <row r="31" spans="1:17" ht="21.75" customHeight="1">
      <c r="A31" s="12">
        <v>24</v>
      </c>
      <c r="B31" s="13" t="s">
        <v>39</v>
      </c>
      <c r="C31" s="63">
        <v>52923</v>
      </c>
      <c r="D31" s="63">
        <v>57787</v>
      </c>
      <c r="E31" s="63">
        <v>63435</v>
      </c>
      <c r="F31" s="18">
        <v>69564</v>
      </c>
      <c r="G31" s="18">
        <v>77585</v>
      </c>
      <c r="H31" s="18">
        <f ca="1">+'Fiscal Deficit (%GSDP)'!H31</f>
        <v>152245</v>
      </c>
      <c r="I31" s="18">
        <f ca="1">+'Fiscal Deficit (%GSDP)'!I31</f>
        <v>174039</v>
      </c>
      <c r="J31" s="18">
        <f ca="1">+'Fiscal Deficit (%GSDP)'!J31</f>
        <v>198393</v>
      </c>
      <c r="K31" s="18">
        <f ca="1">+'Fiscal Deficit (%GSDP)'!K31</f>
        <v>224975</v>
      </c>
      <c r="L31" s="18">
        <f ca="1">+'Fiscal Deficit (%GSDP)'!L31</f>
        <v>248301</v>
      </c>
      <c r="M31" s="444">
        <f t="shared" si="0"/>
        <v>34.761732733423102</v>
      </c>
      <c r="N31" s="444">
        <f t="shared" si="0"/>
        <v>33.203477381506445</v>
      </c>
      <c r="O31" s="444">
        <f t="shared" si="0"/>
        <v>31.974414419863606</v>
      </c>
      <c r="P31" s="444">
        <f t="shared" si="0"/>
        <v>30.920768974330482</v>
      </c>
      <c r="Q31" s="444">
        <f t="shared" si="0"/>
        <v>31.246350195931548</v>
      </c>
    </row>
    <row r="32" spans="1:17" ht="21.75" customHeight="1">
      <c r="A32" s="12">
        <v>25</v>
      </c>
      <c r="B32" s="13" t="s">
        <v>40</v>
      </c>
      <c r="C32" s="63">
        <v>77137.88</v>
      </c>
      <c r="D32" s="63">
        <v>84022.8</v>
      </c>
      <c r="E32" s="63">
        <v>91532.93</v>
      </c>
      <c r="F32" s="18">
        <v>99275.01</v>
      </c>
      <c r="G32" s="18">
        <v>107119.98</v>
      </c>
      <c r="H32" s="18">
        <f ca="1">+'Fiscal Deficit (%GSDP)'!H32</f>
        <v>194822</v>
      </c>
      <c r="I32" s="18">
        <f ca="1">+'Fiscal Deficit (%GSDP)'!I32</f>
        <v>230949</v>
      </c>
      <c r="J32" s="18">
        <f ca="1">+'Fiscal Deficit (%GSDP)'!J32</f>
        <v>263258</v>
      </c>
      <c r="K32" s="18">
        <f ca="1">+'Fiscal Deficit (%GSDP)'!K32</f>
        <v>323682</v>
      </c>
      <c r="L32" s="18">
        <f ca="1">+'Fiscal Deficit (%GSDP)'!L32</f>
        <v>368320</v>
      </c>
      <c r="M32" s="444">
        <f t="shared" si="0"/>
        <v>39.594029421728557</v>
      </c>
      <c r="N32" s="444">
        <f t="shared" si="0"/>
        <v>36.381538781289372</v>
      </c>
      <c r="O32" s="444">
        <f t="shared" si="0"/>
        <v>34.769287163163135</v>
      </c>
      <c r="P32" s="444">
        <f t="shared" si="0"/>
        <v>30.670537750013899</v>
      </c>
      <c r="Q32" s="444">
        <f t="shared" si="0"/>
        <v>29.083400304083405</v>
      </c>
    </row>
    <row r="33" spans="1:17" ht="21.75" customHeight="1">
      <c r="A33" s="12">
        <v>26</v>
      </c>
      <c r="B33" s="13" t="s">
        <v>41</v>
      </c>
      <c r="C33" s="63">
        <v>71071.460000000006</v>
      </c>
      <c r="D33" s="63">
        <v>83661.81</v>
      </c>
      <c r="E33" s="63">
        <v>99180.05</v>
      </c>
      <c r="F33" s="18">
        <v>111657.41</v>
      </c>
      <c r="G33" s="18">
        <v>126061.96</v>
      </c>
      <c r="H33" s="18">
        <f ca="1">+'Fiscal Deficit (%GSDP)'!H33</f>
        <v>350819</v>
      </c>
      <c r="I33" s="18">
        <f ca="1">+'Fiscal Deficit (%GSDP)'!I33</f>
        <v>401336</v>
      </c>
      <c r="J33" s="18">
        <f ca="1">+'Fiscal Deficit (%GSDP)'!J33</f>
        <v>479720</v>
      </c>
      <c r="K33" s="18">
        <f ca="1">+'Fiscal Deficit (%GSDP)'!K33</f>
        <v>566422</v>
      </c>
      <c r="L33" s="18">
        <f ca="1">+'Fiscal Deficit (%GSDP)'!L33</f>
        <v>639025</v>
      </c>
      <c r="M33" s="444">
        <f t="shared" si="0"/>
        <v>20.25872600970871</v>
      </c>
      <c r="N33" s="444">
        <f t="shared" si="0"/>
        <v>20.845827436362548</v>
      </c>
      <c r="O33" s="444">
        <f t="shared" si="0"/>
        <v>20.674570582839991</v>
      </c>
      <c r="P33" s="444">
        <f t="shared" si="0"/>
        <v>19.71276009759508</v>
      </c>
      <c r="Q33" s="444">
        <f t="shared" si="0"/>
        <v>19.727234458745745</v>
      </c>
    </row>
    <row r="34" spans="1:17" ht="21.75" customHeight="1">
      <c r="A34" s="12">
        <v>27</v>
      </c>
      <c r="B34" s="13" t="s">
        <v>42</v>
      </c>
      <c r="C34" s="63">
        <v>147164.72</v>
      </c>
      <c r="D34" s="63">
        <v>157016.25</v>
      </c>
      <c r="E34" s="63">
        <v>174971.63</v>
      </c>
      <c r="F34" s="18">
        <v>196639.91</v>
      </c>
      <c r="G34" s="18">
        <v>210404.83</v>
      </c>
      <c r="H34" s="18">
        <f ca="1">+'Fiscal Deficit (%GSDP)'!H34</f>
        <v>383026</v>
      </c>
      <c r="I34" s="18">
        <f ca="1">+'Fiscal Deficit (%GSDP)'!I34</f>
        <v>444685</v>
      </c>
      <c r="J34" s="18">
        <f ca="1">+'Fiscal Deficit (%GSDP)'!J34</f>
        <v>523193</v>
      </c>
      <c r="K34" s="18">
        <f ca="1">+'Fiscal Deficit (%GSDP)'!K34</f>
        <v>605219</v>
      </c>
      <c r="L34" s="18">
        <f ca="1">+'Fiscal Deficit (%GSDP)'!L34</f>
        <v>687836</v>
      </c>
      <c r="M34" s="444">
        <f t="shared" si="0"/>
        <v>38.421600622412058</v>
      </c>
      <c r="N34" s="444">
        <f t="shared" si="0"/>
        <v>35.309544958791058</v>
      </c>
      <c r="O34" s="444">
        <f t="shared" si="0"/>
        <v>33.443037273052198</v>
      </c>
      <c r="P34" s="444">
        <f t="shared" si="0"/>
        <v>32.490703365228121</v>
      </c>
      <c r="Q34" s="444">
        <f t="shared" si="0"/>
        <v>30.58938904041079</v>
      </c>
    </row>
    <row r="35" spans="1:17" ht="21.75" customHeight="1">
      <c r="A35" s="12">
        <v>28</v>
      </c>
      <c r="B35" s="13" t="s">
        <v>43</v>
      </c>
      <c r="C35" s="63">
        <v>132473.22</v>
      </c>
      <c r="D35" s="63">
        <v>145075.16</v>
      </c>
      <c r="E35" s="63">
        <v>167682.22</v>
      </c>
      <c r="F35" s="18">
        <v>187387.4</v>
      </c>
      <c r="G35" s="18">
        <v>203867.96</v>
      </c>
      <c r="H35" s="18">
        <f ca="1">+'Fiscal Deficit (%GSDP)'!H35</f>
        <v>299483</v>
      </c>
      <c r="I35" s="18">
        <f ca="1">+'Fiscal Deficit (%GSDP)'!I35</f>
        <v>341942</v>
      </c>
      <c r="J35" s="18">
        <f ca="1">+'Fiscal Deficit (%GSDP)'!J35</f>
        <v>398933</v>
      </c>
      <c r="K35" s="18">
        <f ca="1">+'Fiscal Deficit (%GSDP)'!K35</f>
        <v>467421</v>
      </c>
      <c r="L35" s="18">
        <f ca="1">+'Fiscal Deficit (%GSDP)'!L35</f>
        <v>541586</v>
      </c>
      <c r="M35" s="444">
        <f t="shared" si="0"/>
        <v>44.233969874750819</v>
      </c>
      <c r="N35" s="444">
        <f t="shared" si="0"/>
        <v>42.426832620736846</v>
      </c>
      <c r="O35" s="444">
        <f t="shared" si="0"/>
        <v>42.032677166341216</v>
      </c>
      <c r="P35" s="444">
        <f t="shared" si="0"/>
        <v>40.089640816309064</v>
      </c>
      <c r="Q35" s="444">
        <f t="shared" si="0"/>
        <v>37.642767722947049</v>
      </c>
    </row>
    <row r="36" spans="1:17" s="75" customFormat="1" ht="21.75" customHeight="1">
      <c r="A36" s="5"/>
      <c r="B36" s="5" t="s">
        <v>82</v>
      </c>
      <c r="C36" s="419">
        <f>SUM(C19:C35)</f>
        <v>1125176.77</v>
      </c>
      <c r="D36" s="419">
        <f>SUM(D19:D35)</f>
        <v>1254640.03</v>
      </c>
      <c r="E36" s="419">
        <f>SUM(E19:E35)</f>
        <v>1406221.3800000001</v>
      </c>
      <c r="F36" s="419">
        <f>SUM(F19:F35)</f>
        <v>1564032.7599999998</v>
      </c>
      <c r="G36" s="419">
        <f>SUM(G19:G35)</f>
        <v>1727396.21</v>
      </c>
      <c r="H36" s="78">
        <f ca="1">+'[5]Fiscal Deficit (%GSDP)'!H36</f>
        <v>3944320</v>
      </c>
      <c r="I36" s="78">
        <f ca="1">+'[5]Fiscal Deficit (%GSDP)'!I36</f>
        <v>4546440</v>
      </c>
      <c r="J36" s="78">
        <f ca="1">+'[5]Fiscal Deficit (%GSDP)'!J36</f>
        <v>5276885</v>
      </c>
      <c r="K36" s="78">
        <f ca="1">+'[5]Fiscal Deficit (%GSDP)'!K36</f>
        <v>6180166</v>
      </c>
      <c r="L36" s="78">
        <f ca="1">+'[5]Fiscal Deficit (%GSDP)'!L36</f>
        <v>7094552.8959999997</v>
      </c>
      <c r="M36" s="460">
        <f t="shared" si="0"/>
        <v>28.526508244767157</v>
      </c>
      <c r="N36" s="460">
        <f t="shared" si="0"/>
        <v>27.596097825991329</v>
      </c>
      <c r="O36" s="460">
        <f t="shared" si="0"/>
        <v>26.648702406817659</v>
      </c>
      <c r="P36" s="460">
        <f t="shared" si="0"/>
        <v>25.307293687580557</v>
      </c>
      <c r="Q36" s="460">
        <f t="shared" si="0"/>
        <v>24.348203971724956</v>
      </c>
    </row>
    <row r="37" spans="1:17" ht="21.75" customHeight="1">
      <c r="A37" s="13"/>
      <c r="B37" s="5" t="s">
        <v>61</v>
      </c>
      <c r="C37" s="63"/>
      <c r="D37" s="63"/>
      <c r="E37" s="63"/>
      <c r="F37" s="18"/>
      <c r="G37" s="18"/>
      <c r="H37" s="18"/>
      <c r="I37" s="18"/>
      <c r="J37" s="18"/>
      <c r="K37" s="18"/>
      <c r="L37" s="18"/>
      <c r="M37" s="444"/>
      <c r="N37" s="444"/>
      <c r="O37" s="444"/>
      <c r="P37" s="444"/>
      <c r="Q37" s="444"/>
    </row>
    <row r="38" spans="1:17" ht="21.75" customHeight="1">
      <c r="A38" s="12">
        <v>29</v>
      </c>
      <c r="B38" s="13" t="s">
        <v>46</v>
      </c>
      <c r="C38" s="63">
        <v>25339.18</v>
      </c>
      <c r="D38" s="63">
        <v>25381.86</v>
      </c>
      <c r="E38" s="63">
        <v>26544.39</v>
      </c>
      <c r="F38" s="18">
        <v>30140</v>
      </c>
      <c r="G38" s="18">
        <f>+F38+400</f>
        <v>30540</v>
      </c>
      <c r="H38" s="18">
        <f ca="1">+'Fiscal Deficit (%GSDP)'!H38</f>
        <v>157947</v>
      </c>
      <c r="I38" s="18">
        <f ca="1">+'Fiscal Deficit (%GSDP)'!I38</f>
        <v>189533</v>
      </c>
      <c r="J38" s="18">
        <f ca="1">+'Fiscal Deficit (%GSDP)'!J38</f>
        <v>223759</v>
      </c>
      <c r="K38" s="18">
        <f ca="1">+'Fiscal Deficit (%GSDP)'!K38</f>
        <v>264496</v>
      </c>
      <c r="L38" s="18">
        <f ca="1">+'Fiscal Deficit (%GSDP)'!L38</f>
        <v>313934</v>
      </c>
      <c r="M38" s="444">
        <f t="shared" si="0"/>
        <v>16.042837154235283</v>
      </c>
      <c r="N38" s="444">
        <f t="shared" si="0"/>
        <v>13.391789292629779</v>
      </c>
      <c r="O38" s="444">
        <f t="shared" si="0"/>
        <v>11.862937356709674</v>
      </c>
      <c r="P38" s="444">
        <f t="shared" si="0"/>
        <v>11.395257395196904</v>
      </c>
      <c r="Q38" s="444">
        <f t="shared" si="0"/>
        <v>9.7281594220441239</v>
      </c>
    </row>
    <row r="39" spans="1:17" ht="21.75" customHeight="1">
      <c r="A39" s="12">
        <v>30</v>
      </c>
      <c r="B39" s="13" t="s">
        <v>47</v>
      </c>
      <c r="C39" s="63">
        <v>2923</v>
      </c>
      <c r="D39" s="63">
        <v>3325</v>
      </c>
      <c r="E39" s="63">
        <v>3887</v>
      </c>
      <c r="F39" s="63">
        <v>4040</v>
      </c>
      <c r="G39" s="18">
        <v>4712</v>
      </c>
      <c r="H39" s="18">
        <f ca="1">+'Fiscal Deficit (%GSDP)'!H39</f>
        <v>9251</v>
      </c>
      <c r="I39" s="18">
        <f ca="1">+'Fiscal Deficit (%GSDP)'!I39</f>
        <v>10050</v>
      </c>
      <c r="J39" s="18">
        <f ca="1">+'Fiscal Deficit (%GSDP)'!J39</f>
        <v>11344</v>
      </c>
      <c r="K39" s="18">
        <f ca="1">+'Fiscal Deficit (%GSDP)'!K39</f>
        <v>12929</v>
      </c>
      <c r="L39" s="18">
        <f ca="1">+'Fiscal Deficit (%GSDP)'!L39</f>
        <v>13724</v>
      </c>
      <c r="M39" s="444">
        <f t="shared" si="0"/>
        <v>31.596584153064533</v>
      </c>
      <c r="N39" s="444">
        <f t="shared" si="0"/>
        <v>33.084577114427859</v>
      </c>
      <c r="O39" s="444">
        <f t="shared" si="0"/>
        <v>34.264809590973201</v>
      </c>
      <c r="P39" s="444">
        <f t="shared" si="0"/>
        <v>31.247582953051278</v>
      </c>
      <c r="Q39" s="444">
        <f t="shared" si="0"/>
        <v>34.33401340716992</v>
      </c>
    </row>
    <row r="40" spans="1:17" s="75" customFormat="1" ht="21.75" customHeight="1">
      <c r="A40" s="5"/>
      <c r="B40" s="5" t="s">
        <v>83</v>
      </c>
      <c r="C40" s="419">
        <f>SUM(C38:C39)</f>
        <v>28262.18</v>
      </c>
      <c r="D40" s="419">
        <f>SUM(D38:D39)</f>
        <v>28706.86</v>
      </c>
      <c r="E40" s="419">
        <f>SUM(E38:E39)</f>
        <v>30431.39</v>
      </c>
      <c r="F40" s="419">
        <f>SUM(F38:F39)</f>
        <v>34180</v>
      </c>
      <c r="G40" s="419">
        <f>SUM(G38:G39)</f>
        <v>35252</v>
      </c>
      <c r="H40" s="78">
        <f>+'[5]Fiscal Deficit (%GSDP)'!H40</f>
        <v>167198</v>
      </c>
      <c r="I40" s="78">
        <f>+'[5]Fiscal Deficit (%GSDP)'!I40</f>
        <v>199583</v>
      </c>
      <c r="J40" s="78">
        <f>+'[5]Fiscal Deficit (%GSDP)'!J40</f>
        <v>235103</v>
      </c>
      <c r="K40" s="78">
        <f>+'[5]Fiscal Deficit (%GSDP)'!K40</f>
        <v>277425</v>
      </c>
      <c r="L40" s="78">
        <f>+'[5]Fiscal Deficit (%GSDP)'!L40</f>
        <v>327658</v>
      </c>
      <c r="M40" s="460">
        <f t="shared" si="0"/>
        <v>16.903419897367193</v>
      </c>
      <c r="N40" s="460">
        <f t="shared" si="0"/>
        <v>14.38341942951053</v>
      </c>
      <c r="O40" s="460">
        <f t="shared" si="0"/>
        <v>12.943854395732934</v>
      </c>
      <c r="P40" s="460">
        <f t="shared" si="0"/>
        <v>12.320446967648914</v>
      </c>
      <c r="Q40" s="460">
        <f t="shared" si="0"/>
        <v>10.758778970756094</v>
      </c>
    </row>
    <row r="41" spans="1:17" ht="14.25">
      <c r="A41" s="13"/>
      <c r="B41" s="13"/>
      <c r="C41" s="63"/>
      <c r="D41" s="63"/>
      <c r="E41" s="63"/>
      <c r="F41" s="18"/>
      <c r="G41" s="18"/>
      <c r="H41" s="18"/>
      <c r="I41" s="18"/>
      <c r="J41" s="18"/>
      <c r="K41" s="18"/>
      <c r="L41" s="18"/>
      <c r="M41" s="444"/>
      <c r="N41" s="444"/>
      <c r="O41" s="444"/>
      <c r="P41" s="444"/>
      <c r="Q41" s="444"/>
    </row>
    <row r="42" spans="1:17" s="75" customFormat="1" ht="14.25">
      <c r="A42" s="5"/>
      <c r="B42" s="5" t="s">
        <v>84</v>
      </c>
      <c r="C42" s="419">
        <f>+C17+C36+C40</f>
        <v>1245416.26</v>
      </c>
      <c r="D42" s="419">
        <f>+D17+D36+D40</f>
        <v>1381684.6500000001</v>
      </c>
      <c r="E42" s="419">
        <f>+E17+E36+E40</f>
        <v>1557656.26</v>
      </c>
      <c r="F42" s="419">
        <f>+F17+F36+F40</f>
        <v>1733786.5899999999</v>
      </c>
      <c r="G42" s="419">
        <f>+G17+G36+G40</f>
        <v>1911491.52</v>
      </c>
      <c r="H42" s="78">
        <f>+'[5]Fiscal Deficit (%GSDP)'!H42</f>
        <v>4347034</v>
      </c>
      <c r="I42" s="78">
        <f>+'[5]Fiscal Deficit (%GSDP)'!I42</f>
        <v>5022455</v>
      </c>
      <c r="J42" s="78">
        <f>+'[5]Fiscal Deficit (%GSDP)'!J42</f>
        <v>5830551</v>
      </c>
      <c r="K42" s="78">
        <f>+'[5]Fiscal Deficit (%GSDP)'!K42</f>
        <v>6819292</v>
      </c>
      <c r="L42" s="78">
        <f>+'[5]Fiscal Deficit (%GSDP)'!L42</f>
        <v>7832157.3146000002</v>
      </c>
      <c r="M42" s="460">
        <f t="shared" si="0"/>
        <v>28.649793399361496</v>
      </c>
      <c r="N42" s="460">
        <f t="shared" si="0"/>
        <v>27.5101449390786</v>
      </c>
      <c r="O42" s="460">
        <f t="shared" si="0"/>
        <v>26.715421235488723</v>
      </c>
      <c r="P42" s="460">
        <f t="shared" si="0"/>
        <v>25.424730162603389</v>
      </c>
      <c r="Q42" s="460">
        <f t="shared" si="0"/>
        <v>24.405683430755026</v>
      </c>
    </row>
    <row r="43" spans="1:17" s="14" customFormat="1">
      <c r="A43" s="22"/>
      <c r="B43" s="23" t="s">
        <v>50</v>
      </c>
      <c r="C43" s="24"/>
      <c r="D43" s="24"/>
      <c r="E43" s="24"/>
      <c r="F43" s="24"/>
      <c r="G43" s="24" t="s">
        <v>308</v>
      </c>
      <c r="H43" s="24"/>
      <c r="I43" s="24"/>
      <c r="J43" s="24"/>
      <c r="K43" s="24"/>
      <c r="L43" s="24"/>
      <c r="M43" s="24"/>
      <c r="N43" s="24"/>
    </row>
    <row r="55" ht="11.25" customHeight="1"/>
  </sheetData>
  <mergeCells count="6">
    <mergeCell ref="A1:Q1"/>
    <mergeCell ref="A2:A4"/>
    <mergeCell ref="B2:B3"/>
    <mergeCell ref="C2:G2"/>
    <mergeCell ref="H2:L2"/>
    <mergeCell ref="M2:Q2"/>
  </mergeCells>
  <phoneticPr fontId="63" type="noConversion"/>
  <printOptions horizontalCentered="1"/>
  <pageMargins left="0.74803149606299213" right="0.74803149606299213" top="0.78740157480314965" bottom="0.39370078740157483" header="0" footer="0"/>
  <pageSetup paperSize="9" scale="56" orientation="landscape" verticalDpi="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2.75"/>
  <cols>
    <col min="1" max="1" width="5.42578125" style="29" customWidth="1"/>
    <col min="2" max="2" width="35.28515625" style="29" customWidth="1"/>
    <col min="3" max="7" width="11.28515625" style="24" customWidth="1"/>
    <col min="8" max="12" width="11" style="24" customWidth="1"/>
    <col min="13" max="14" width="12.5703125" style="29" customWidth="1"/>
    <col min="15" max="15" width="11" style="29" bestFit="1" customWidth="1"/>
    <col min="16" max="16" width="11" style="29" customWidth="1"/>
    <col min="17" max="17" width="10.85546875" style="29" customWidth="1"/>
    <col min="18" max="16384" width="9.140625" style="29"/>
  </cols>
  <sheetData>
    <row r="1" spans="1:17" ht="28.5" customHeight="1">
      <c r="A1" s="602" t="s">
        <v>281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24"/>
      <c r="M1" s="624"/>
      <c r="N1" s="624"/>
    </row>
    <row r="2" spans="1:17" ht="49.5" customHeight="1">
      <c r="A2" s="592" t="s">
        <v>51</v>
      </c>
      <c r="B2" s="625" t="s">
        <v>315</v>
      </c>
      <c r="C2" s="626" t="s">
        <v>85</v>
      </c>
      <c r="D2" s="627"/>
      <c r="E2" s="627"/>
      <c r="F2" s="627"/>
      <c r="G2" s="628"/>
      <c r="H2" s="629" t="s">
        <v>201</v>
      </c>
      <c r="I2" s="630"/>
      <c r="J2" s="630"/>
      <c r="K2" s="630"/>
      <c r="L2" s="631"/>
      <c r="M2" s="632" t="s">
        <v>200</v>
      </c>
      <c r="N2" s="632"/>
      <c r="O2" s="632"/>
      <c r="P2" s="632"/>
      <c r="Q2" s="632"/>
    </row>
    <row r="3" spans="1:17" ht="34.5" customHeight="1">
      <c r="A3" s="592"/>
      <c r="B3" s="625"/>
      <c r="C3" s="437" t="s">
        <v>5</v>
      </c>
      <c r="D3" s="437" t="s">
        <v>6</v>
      </c>
      <c r="E3" s="437" t="s">
        <v>7</v>
      </c>
      <c r="F3" s="437" t="s">
        <v>8</v>
      </c>
      <c r="G3" s="437" t="s">
        <v>9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2" t="s">
        <v>5</v>
      </c>
      <c r="N3" s="2" t="s">
        <v>6</v>
      </c>
      <c r="O3" s="1" t="s">
        <v>7</v>
      </c>
      <c r="P3" s="1" t="s">
        <v>8</v>
      </c>
      <c r="Q3" s="1" t="s">
        <v>9</v>
      </c>
    </row>
    <row r="4" spans="1:17" s="79" customFormat="1" ht="18" customHeight="1">
      <c r="A4" s="592"/>
      <c r="B4" s="128">
        <v>41129</v>
      </c>
      <c r="C4" s="437" t="s">
        <v>10</v>
      </c>
      <c r="D4" s="437" t="s">
        <v>10</v>
      </c>
      <c r="E4" s="437" t="s">
        <v>10</v>
      </c>
      <c r="F4" s="437" t="s">
        <v>58</v>
      </c>
      <c r="G4" s="437" t="s">
        <v>12</v>
      </c>
      <c r="H4" s="1" t="s">
        <v>10</v>
      </c>
      <c r="I4" s="1" t="s">
        <v>10</v>
      </c>
      <c r="J4" s="1" t="s">
        <v>10</v>
      </c>
      <c r="K4" s="1" t="s">
        <v>58</v>
      </c>
      <c r="L4" s="1" t="s">
        <v>12</v>
      </c>
      <c r="M4" s="2" t="s">
        <v>10</v>
      </c>
      <c r="N4" s="2" t="s">
        <v>10</v>
      </c>
      <c r="O4" s="2" t="s">
        <v>10</v>
      </c>
      <c r="P4" s="1" t="s">
        <v>58</v>
      </c>
      <c r="Q4" s="1" t="s">
        <v>86</v>
      </c>
    </row>
    <row r="5" spans="1:17" ht="16.5" customHeight="1">
      <c r="A5" s="6"/>
      <c r="B5" s="4" t="s">
        <v>13</v>
      </c>
      <c r="C5" s="438"/>
      <c r="D5" s="438"/>
      <c r="E5" s="438"/>
      <c r="F5" s="438"/>
      <c r="G5" s="438"/>
      <c r="H5" s="5"/>
      <c r="I5" s="5"/>
      <c r="J5" s="5"/>
      <c r="K5" s="5"/>
      <c r="L5" s="5"/>
      <c r="M5" s="10"/>
      <c r="N5" s="10"/>
      <c r="O5" s="6"/>
      <c r="P5" s="6"/>
      <c r="Q5" s="6"/>
    </row>
    <row r="6" spans="1:17" ht="16.5" customHeight="1">
      <c r="A6" s="3">
        <v>1</v>
      </c>
      <c r="B6" s="6" t="s">
        <v>59</v>
      </c>
      <c r="C6" s="446">
        <v>515.9</v>
      </c>
      <c r="D6" s="446">
        <v>842.67</v>
      </c>
      <c r="E6" s="446">
        <v>1462.47</v>
      </c>
      <c r="F6" s="446">
        <v>1395.47</v>
      </c>
      <c r="G6" s="446">
        <v>1654.94</v>
      </c>
      <c r="H6" s="9">
        <v>1596.3</v>
      </c>
      <c r="I6" s="9">
        <v>2447.7800000000002</v>
      </c>
      <c r="J6" s="9">
        <v>2597.38</v>
      </c>
      <c r="K6" s="9">
        <v>2755.5</v>
      </c>
      <c r="L6" s="9">
        <v>3803.01</v>
      </c>
      <c r="M6" s="38">
        <f>+C6/H6*100</f>
        <v>32.318486500031327</v>
      </c>
      <c r="N6" s="38">
        <f>+D6/I6*100</f>
        <v>34.425887947446256</v>
      </c>
      <c r="O6" s="38">
        <f>+E6/J6*100</f>
        <v>56.305584858588261</v>
      </c>
      <c r="P6" s="38">
        <f>+F6/K6*100</f>
        <v>50.64307748140083</v>
      </c>
      <c r="Q6" s="38">
        <f>+G6/L6*100</f>
        <v>43.516582917215572</v>
      </c>
    </row>
    <row r="7" spans="1:17" ht="16.5" customHeight="1">
      <c r="A7" s="3">
        <v>2</v>
      </c>
      <c r="B7" s="6" t="s">
        <v>15</v>
      </c>
      <c r="C7" s="446">
        <v>5766.86</v>
      </c>
      <c r="D7" s="446">
        <v>5415.29</v>
      </c>
      <c r="E7" s="446">
        <v>6466.32</v>
      </c>
      <c r="F7" s="446">
        <v>8521.07</v>
      </c>
      <c r="G7" s="446">
        <v>7541.38</v>
      </c>
      <c r="H7" s="9">
        <v>3538.2</v>
      </c>
      <c r="I7" s="9">
        <v>5396.8</v>
      </c>
      <c r="J7" s="9">
        <v>4681.45</v>
      </c>
      <c r="K7" s="9">
        <v>6429.32</v>
      </c>
      <c r="L7" s="9">
        <v>9160.06</v>
      </c>
      <c r="M7" s="38">
        <f t="shared" ref="M7:Q22" si="0">+C7/H7*100</f>
        <v>162.98852523882198</v>
      </c>
      <c r="N7" s="38">
        <f t="shared" si="0"/>
        <v>100.34261043581381</v>
      </c>
      <c r="O7" s="38">
        <f t="shared" si="0"/>
        <v>138.12643518567964</v>
      </c>
      <c r="P7" s="38">
        <f t="shared" si="0"/>
        <v>132.53454486633112</v>
      </c>
      <c r="Q7" s="38">
        <f t="shared" si="0"/>
        <v>82.328936710021566</v>
      </c>
    </row>
    <row r="8" spans="1:17" ht="16.5" customHeight="1">
      <c r="A8" s="3">
        <v>3</v>
      </c>
      <c r="B8" s="6" t="s">
        <v>16</v>
      </c>
      <c r="C8" s="446">
        <f>355.42+2659.47</f>
        <v>3014.89</v>
      </c>
      <c r="D8" s="446">
        <f>81.87+3233.02</f>
        <v>3314.89</v>
      </c>
      <c r="E8" s="446">
        <f>99.85+3994.81</f>
        <v>4094.66</v>
      </c>
      <c r="F8" s="446">
        <f>127.11+5039.28</f>
        <v>5166.3899999999994</v>
      </c>
      <c r="G8" s="446">
        <f>110.65+5771</f>
        <v>5881.65</v>
      </c>
      <c r="H8" s="9">
        <v>2526.36</v>
      </c>
      <c r="I8" s="9">
        <v>2811.14</v>
      </c>
      <c r="J8" s="9">
        <v>3228.94</v>
      </c>
      <c r="K8" s="9">
        <v>3648.03</v>
      </c>
      <c r="L8" s="9">
        <v>3094.44</v>
      </c>
      <c r="M8" s="38">
        <f t="shared" si="0"/>
        <v>119.33730743045329</v>
      </c>
      <c r="N8" s="38">
        <f t="shared" si="0"/>
        <v>117.91977631850423</v>
      </c>
      <c r="O8" s="38">
        <f t="shared" si="0"/>
        <v>126.81127552695311</v>
      </c>
      <c r="P8" s="38">
        <f t="shared" si="0"/>
        <v>141.62136824532689</v>
      </c>
      <c r="Q8" s="38">
        <f t="shared" si="0"/>
        <v>190.07154767906306</v>
      </c>
    </row>
    <row r="9" spans="1:17" ht="16.5" customHeight="1">
      <c r="A9" s="3">
        <v>4</v>
      </c>
      <c r="B9" s="6" t="s">
        <v>60</v>
      </c>
      <c r="C9" s="446">
        <v>4475</v>
      </c>
      <c r="D9" s="446">
        <v>5077.78</v>
      </c>
      <c r="E9" s="446">
        <v>6022.81</v>
      </c>
      <c r="F9" s="446">
        <v>7722</v>
      </c>
      <c r="G9" s="446">
        <v>11776</v>
      </c>
      <c r="H9" s="9">
        <v>4164.4399999999996</v>
      </c>
      <c r="I9" s="9">
        <v>5006.1400000000003</v>
      </c>
      <c r="J9" s="9">
        <v>6688.41</v>
      </c>
      <c r="K9" s="9">
        <v>6639</v>
      </c>
      <c r="L9" s="9">
        <v>8221.65</v>
      </c>
      <c r="M9" s="38">
        <f t="shared" si="0"/>
        <v>107.45742524805257</v>
      </c>
      <c r="N9" s="38">
        <f t="shared" si="0"/>
        <v>101.43104267958944</v>
      </c>
      <c r="O9" s="38">
        <f t="shared" si="0"/>
        <v>90.048456957632695</v>
      </c>
      <c r="P9" s="38">
        <f t="shared" si="0"/>
        <v>116.31269769543606</v>
      </c>
      <c r="Q9" s="38">
        <f t="shared" si="0"/>
        <v>143.23158976604452</v>
      </c>
    </row>
    <row r="10" spans="1:17" ht="16.5" customHeight="1">
      <c r="A10" s="3">
        <v>5</v>
      </c>
      <c r="B10" s="6" t="s">
        <v>18</v>
      </c>
      <c r="C10" s="446">
        <v>890.17</v>
      </c>
      <c r="D10" s="446">
        <v>1063.32</v>
      </c>
      <c r="E10" s="446">
        <v>1148.8900000000001</v>
      </c>
      <c r="F10" s="446">
        <v>1673.15</v>
      </c>
      <c r="G10" s="446">
        <v>1841.66</v>
      </c>
      <c r="H10" s="9">
        <v>1593.63</v>
      </c>
      <c r="I10" s="9">
        <v>1954.59</v>
      </c>
      <c r="J10" s="9">
        <v>2305.17</v>
      </c>
      <c r="K10" s="9">
        <v>3019.18</v>
      </c>
      <c r="L10" s="9">
        <v>3608.85</v>
      </c>
      <c r="M10" s="38">
        <f t="shared" si="0"/>
        <v>55.85800970112259</v>
      </c>
      <c r="N10" s="38">
        <f t="shared" si="0"/>
        <v>54.401178763832824</v>
      </c>
      <c r="O10" s="38">
        <f t="shared" si="0"/>
        <v>49.839708134324148</v>
      </c>
      <c r="P10" s="38">
        <f t="shared" si="0"/>
        <v>55.417364979895211</v>
      </c>
      <c r="Q10" s="38">
        <f t="shared" si="0"/>
        <v>51.031769123127866</v>
      </c>
    </row>
    <row r="11" spans="1:17" ht="16.5" customHeight="1">
      <c r="A11" s="3">
        <v>6</v>
      </c>
      <c r="B11" s="6" t="s">
        <v>19</v>
      </c>
      <c r="C11" s="446">
        <v>940.77</v>
      </c>
      <c r="D11" s="446">
        <v>1015.19</v>
      </c>
      <c r="E11" s="446">
        <v>1492.66</v>
      </c>
      <c r="F11" s="446">
        <v>1857.47</v>
      </c>
      <c r="G11" s="446">
        <v>1795.79</v>
      </c>
      <c r="H11" s="9">
        <v>1128.24</v>
      </c>
      <c r="I11" s="9">
        <v>1579.48</v>
      </c>
      <c r="J11" s="9">
        <v>1537.87</v>
      </c>
      <c r="K11" s="9">
        <v>2068.25</v>
      </c>
      <c r="L11" s="9">
        <v>3243.45</v>
      </c>
      <c r="M11" s="38">
        <f t="shared" si="0"/>
        <v>83.383854499042755</v>
      </c>
      <c r="N11" s="38">
        <f t="shared" si="0"/>
        <v>64.273685010256543</v>
      </c>
      <c r="O11" s="38">
        <f t="shared" si="0"/>
        <v>97.060219654457143</v>
      </c>
      <c r="P11" s="38">
        <f t="shared" si="0"/>
        <v>89.808775534872481</v>
      </c>
      <c r="Q11" s="38">
        <f t="shared" si="0"/>
        <v>55.36666204196149</v>
      </c>
    </row>
    <row r="12" spans="1:17" s="24" customFormat="1" ht="16.5" customHeight="1">
      <c r="A12" s="12">
        <v>7</v>
      </c>
      <c r="B12" s="13" t="s">
        <v>20</v>
      </c>
      <c r="C12" s="446">
        <v>597.84</v>
      </c>
      <c r="D12" s="446">
        <v>693.06</v>
      </c>
      <c r="E12" s="446">
        <v>826.23</v>
      </c>
      <c r="F12" s="446">
        <v>1214.22</v>
      </c>
      <c r="G12" s="446">
        <v>1216.05</v>
      </c>
      <c r="H12" s="9">
        <v>1142.94</v>
      </c>
      <c r="I12" s="9">
        <v>1119.3</v>
      </c>
      <c r="J12" s="9">
        <v>1367.95</v>
      </c>
      <c r="K12" s="9">
        <v>2145.86</v>
      </c>
      <c r="L12" s="9">
        <v>1700</v>
      </c>
      <c r="M12" s="38">
        <f t="shared" si="0"/>
        <v>52.307207727439767</v>
      </c>
      <c r="N12" s="38">
        <f t="shared" si="0"/>
        <v>61.919056553202893</v>
      </c>
      <c r="O12" s="38">
        <f t="shared" si="0"/>
        <v>60.399137395372634</v>
      </c>
      <c r="P12" s="38">
        <f t="shared" si="0"/>
        <v>56.584306525122798</v>
      </c>
      <c r="Q12" s="38">
        <f t="shared" si="0"/>
        <v>71.53235294117647</v>
      </c>
    </row>
    <row r="13" spans="1:17" s="24" customFormat="1" ht="16.5" customHeight="1">
      <c r="A13" s="12">
        <v>8</v>
      </c>
      <c r="B13" s="13" t="s">
        <v>21</v>
      </c>
      <c r="C13" s="446">
        <v>1123.47</v>
      </c>
      <c r="D13" s="446">
        <v>1254.32</v>
      </c>
      <c r="E13" s="446">
        <v>1493.87</v>
      </c>
      <c r="F13" s="446">
        <v>2036.36</v>
      </c>
      <c r="G13" s="446">
        <v>2339.19</v>
      </c>
      <c r="H13" s="9">
        <v>1296.97</v>
      </c>
      <c r="I13" s="9">
        <v>1396.74</v>
      </c>
      <c r="J13" s="9">
        <v>1568.55</v>
      </c>
      <c r="K13" s="9">
        <v>2201.17</v>
      </c>
      <c r="L13" s="9">
        <v>2336.39</v>
      </c>
      <c r="M13" s="38">
        <f t="shared" si="0"/>
        <v>86.622666676947034</v>
      </c>
      <c r="N13" s="38">
        <f t="shared" si="0"/>
        <v>89.80339934418717</v>
      </c>
      <c r="O13" s="38">
        <f t="shared" si="0"/>
        <v>95.238914921424239</v>
      </c>
      <c r="P13" s="38">
        <f t="shared" si="0"/>
        <v>92.512618289364283</v>
      </c>
      <c r="Q13" s="38">
        <f t="shared" si="0"/>
        <v>100.11984300566259</v>
      </c>
    </row>
    <row r="14" spans="1:17" ht="16.5" customHeight="1">
      <c r="A14" s="3">
        <v>9</v>
      </c>
      <c r="B14" s="6" t="s">
        <v>22</v>
      </c>
      <c r="C14" s="446">
        <v>492.91</v>
      </c>
      <c r="D14" s="446">
        <v>576.44000000000005</v>
      </c>
      <c r="E14" s="446">
        <v>968.76</v>
      </c>
      <c r="F14" s="446">
        <v>1095.79</v>
      </c>
      <c r="G14" s="446">
        <v>1032.75</v>
      </c>
      <c r="H14" s="9">
        <v>835.26</v>
      </c>
      <c r="I14" s="9">
        <v>1129.51</v>
      </c>
      <c r="J14" s="9">
        <v>1257.8599999999999</v>
      </c>
      <c r="K14" s="9">
        <v>1132.0899999999999</v>
      </c>
      <c r="L14" s="9">
        <v>1939.44</v>
      </c>
      <c r="M14" s="38">
        <f t="shared" si="0"/>
        <v>59.012762493115922</v>
      </c>
      <c r="N14" s="38">
        <f t="shared" si="0"/>
        <v>51.034519393365272</v>
      </c>
      <c r="O14" s="38">
        <f t="shared" si="0"/>
        <v>77.016520121476162</v>
      </c>
      <c r="P14" s="38">
        <f t="shared" si="0"/>
        <v>96.793541149555253</v>
      </c>
      <c r="Q14" s="38">
        <f t="shared" si="0"/>
        <v>53.249907189704238</v>
      </c>
    </row>
    <row r="15" spans="1:17" ht="16.5" customHeight="1">
      <c r="A15" s="3">
        <v>10</v>
      </c>
      <c r="B15" s="6" t="s">
        <v>23</v>
      </c>
      <c r="C15" s="446">
        <v>1308.3800000000001</v>
      </c>
      <c r="D15" s="446">
        <v>1411.17</v>
      </c>
      <c r="E15" s="446">
        <v>1972.55</v>
      </c>
      <c r="F15" s="446">
        <v>2196.15</v>
      </c>
      <c r="G15" s="446">
        <v>2415.11</v>
      </c>
      <c r="H15" s="9">
        <v>1700.13</v>
      </c>
      <c r="I15" s="9">
        <v>1795.72</v>
      </c>
      <c r="J15" s="9">
        <v>2076.9</v>
      </c>
      <c r="K15" s="9">
        <v>1887.3</v>
      </c>
      <c r="L15" s="9">
        <v>2646.38</v>
      </c>
      <c r="M15" s="38">
        <f t="shared" si="0"/>
        <v>76.957644415427069</v>
      </c>
      <c r="N15" s="38">
        <f t="shared" si="0"/>
        <v>78.585191455238018</v>
      </c>
      <c r="O15" s="38">
        <f t="shared" si="0"/>
        <v>94.975684915017567</v>
      </c>
      <c r="P15" s="38">
        <f t="shared" si="0"/>
        <v>116.3646479097123</v>
      </c>
      <c r="Q15" s="38">
        <f t="shared" si="0"/>
        <v>91.260892237698286</v>
      </c>
    </row>
    <row r="16" spans="1:17" ht="16.5" customHeight="1">
      <c r="A16" s="3">
        <v>11</v>
      </c>
      <c r="B16" s="6" t="s">
        <v>24</v>
      </c>
      <c r="C16" s="446">
        <v>2302.2800000000002</v>
      </c>
      <c r="D16" s="446">
        <v>3349.91</v>
      </c>
      <c r="E16" s="446">
        <v>4811.21</v>
      </c>
      <c r="F16" s="446">
        <v>4511.12</v>
      </c>
      <c r="G16" s="446">
        <v>5670.25</v>
      </c>
      <c r="H16" s="9">
        <v>4186.13</v>
      </c>
      <c r="I16" s="9">
        <v>4192.3999999999996</v>
      </c>
      <c r="J16" s="9">
        <v>3810.16</v>
      </c>
      <c r="K16" s="9">
        <v>5605.02</v>
      </c>
      <c r="L16" s="9">
        <v>6564.29</v>
      </c>
      <c r="M16" s="38">
        <f t="shared" si="0"/>
        <v>54.997814210261033</v>
      </c>
      <c r="N16" s="38">
        <f t="shared" si="0"/>
        <v>79.904350729892187</v>
      </c>
      <c r="O16" s="38">
        <f t="shared" si="0"/>
        <v>126.27317487979508</v>
      </c>
      <c r="P16" s="38">
        <f t="shared" si="0"/>
        <v>80.483566517157826</v>
      </c>
      <c r="Q16" s="38">
        <f t="shared" si="0"/>
        <v>86.38024828275411</v>
      </c>
    </row>
    <row r="17" spans="1:17" s="79" customFormat="1" ht="16.5" customHeight="1">
      <c r="A17" s="4"/>
      <c r="B17" s="4" t="s">
        <v>25</v>
      </c>
      <c r="C17" s="447">
        <f t="shared" ref="C17:L17" si="1">SUM(C6:C16)</f>
        <v>21428.47</v>
      </c>
      <c r="D17" s="447">
        <f t="shared" si="1"/>
        <v>24014.039999999997</v>
      </c>
      <c r="E17" s="447">
        <f t="shared" si="1"/>
        <v>30760.429999999997</v>
      </c>
      <c r="F17" s="447">
        <f t="shared" si="1"/>
        <v>37389.19000000001</v>
      </c>
      <c r="G17" s="447">
        <f t="shared" si="1"/>
        <v>43164.770000000004</v>
      </c>
      <c r="H17" s="77">
        <f t="shared" si="1"/>
        <v>23708.600000000002</v>
      </c>
      <c r="I17" s="77">
        <f t="shared" si="1"/>
        <v>28829.599999999999</v>
      </c>
      <c r="J17" s="77">
        <f t="shared" si="1"/>
        <v>31120.639999999999</v>
      </c>
      <c r="K17" s="77">
        <f t="shared" si="1"/>
        <v>37530.720000000001</v>
      </c>
      <c r="L17" s="77">
        <f t="shared" si="1"/>
        <v>46317.96</v>
      </c>
      <c r="M17" s="43">
        <f t="shared" si="0"/>
        <v>90.382688138481399</v>
      </c>
      <c r="N17" s="43">
        <f t="shared" si="0"/>
        <v>83.296473069345396</v>
      </c>
      <c r="O17" s="43">
        <f t="shared" si="0"/>
        <v>98.8425366573438</v>
      </c>
      <c r="P17" s="43">
        <f t="shared" si="0"/>
        <v>99.622895590598873</v>
      </c>
      <c r="Q17" s="43">
        <f t="shared" si="0"/>
        <v>93.192295170167256</v>
      </c>
    </row>
    <row r="18" spans="1:17" s="79" customFormat="1" ht="16.5" customHeight="1">
      <c r="A18" s="4"/>
      <c r="B18" s="4" t="s">
        <v>26</v>
      </c>
      <c r="C18" s="446"/>
      <c r="D18" s="446"/>
      <c r="E18" s="446"/>
      <c r="F18" s="446"/>
      <c r="G18" s="446"/>
      <c r="H18" s="13"/>
      <c r="I18" s="13"/>
      <c r="J18" s="9"/>
      <c r="K18" s="9"/>
      <c r="L18" s="9"/>
      <c r="M18" s="38"/>
      <c r="N18" s="38"/>
      <c r="O18" s="38"/>
      <c r="P18" s="38"/>
      <c r="Q18" s="38"/>
    </row>
    <row r="19" spans="1:17" ht="16.5" customHeight="1">
      <c r="A19" s="3">
        <v>12</v>
      </c>
      <c r="B19" s="6" t="s">
        <v>27</v>
      </c>
      <c r="C19" s="446">
        <v>12171.08</v>
      </c>
      <c r="D19" s="446">
        <v>12882.86</v>
      </c>
      <c r="E19" s="446">
        <v>15706.57</v>
      </c>
      <c r="F19" s="446">
        <v>21128.13</v>
      </c>
      <c r="G19" s="446">
        <v>27131.07</v>
      </c>
      <c r="H19" s="9">
        <v>28987.43</v>
      </c>
      <c r="I19" s="9">
        <v>32700.639999999999</v>
      </c>
      <c r="J19" s="9">
        <v>30910.26</v>
      </c>
      <c r="K19" s="9">
        <v>34033.74</v>
      </c>
      <c r="L19" s="9">
        <v>47557.86</v>
      </c>
      <c r="M19" s="38">
        <f t="shared" ref="M19:Q36" si="2">+C19/H19*100</f>
        <v>41.987440763116979</v>
      </c>
      <c r="N19" s="38">
        <f t="shared" si="2"/>
        <v>39.396354322117247</v>
      </c>
      <c r="O19" s="38">
        <f t="shared" si="0"/>
        <v>50.813451585331215</v>
      </c>
      <c r="P19" s="38">
        <f t="shared" si="0"/>
        <v>62.079953598987373</v>
      </c>
      <c r="Q19" s="38">
        <f t="shared" si="0"/>
        <v>57.048550965077062</v>
      </c>
    </row>
    <row r="20" spans="1:17" s="24" customFormat="1" ht="16.5" customHeight="1">
      <c r="A20" s="12">
        <v>13</v>
      </c>
      <c r="B20" s="13" t="s">
        <v>28</v>
      </c>
      <c r="C20" s="446">
        <v>6484.76</v>
      </c>
      <c r="D20" s="446">
        <v>7658.49</v>
      </c>
      <c r="E20" s="446">
        <v>9572.69</v>
      </c>
      <c r="F20" s="446">
        <v>10549.85</v>
      </c>
      <c r="G20" s="446">
        <v>13210.7</v>
      </c>
      <c r="H20" s="9">
        <v>10945.7</v>
      </c>
      <c r="I20" s="9">
        <v>13813.74</v>
      </c>
      <c r="J20" s="9">
        <v>16194.18</v>
      </c>
      <c r="K20" s="9">
        <v>20910.54</v>
      </c>
      <c r="L20" s="9">
        <v>27502.91</v>
      </c>
      <c r="M20" s="76">
        <f t="shared" si="2"/>
        <v>59.244817599605327</v>
      </c>
      <c r="N20" s="76">
        <f t="shared" si="2"/>
        <v>55.441104291813801</v>
      </c>
      <c r="O20" s="38">
        <f t="shared" si="0"/>
        <v>59.111915515327119</v>
      </c>
      <c r="P20" s="38">
        <f t="shared" si="0"/>
        <v>50.452307783538828</v>
      </c>
      <c r="Q20" s="38">
        <f t="shared" si="0"/>
        <v>48.033826238750734</v>
      </c>
    </row>
    <row r="21" spans="1:17" ht="16.5" customHeight="1">
      <c r="A21" s="3">
        <v>14</v>
      </c>
      <c r="B21" s="6" t="s">
        <v>29</v>
      </c>
      <c r="C21" s="446">
        <v>2290.5</v>
      </c>
      <c r="D21" s="446">
        <v>2814.95</v>
      </c>
      <c r="E21" s="446">
        <v>3464.43</v>
      </c>
      <c r="F21" s="446">
        <v>6213.52</v>
      </c>
      <c r="G21" s="446">
        <v>5729.99</v>
      </c>
      <c r="H21" s="9">
        <v>6676.77</v>
      </c>
      <c r="I21" s="9">
        <v>8840.39</v>
      </c>
      <c r="J21" s="9">
        <v>10449.52</v>
      </c>
      <c r="K21" s="9">
        <v>11576.43</v>
      </c>
      <c r="L21" s="9">
        <v>17433.66</v>
      </c>
      <c r="M21" s="38">
        <f t="shared" si="2"/>
        <v>34.305509999595614</v>
      </c>
      <c r="N21" s="38">
        <f t="shared" si="2"/>
        <v>31.841921001222794</v>
      </c>
      <c r="O21" s="38">
        <f t="shared" si="0"/>
        <v>33.153963052848354</v>
      </c>
      <c r="P21" s="38">
        <f t="shared" si="0"/>
        <v>53.673887372877481</v>
      </c>
      <c r="Q21" s="38">
        <f t="shared" si="0"/>
        <v>32.867395601382611</v>
      </c>
    </row>
    <row r="22" spans="1:17" ht="16.5" customHeight="1">
      <c r="A22" s="3">
        <v>15</v>
      </c>
      <c r="B22" s="6" t="s">
        <v>30</v>
      </c>
      <c r="C22" s="446">
        <v>465.56</v>
      </c>
      <c r="D22" s="446">
        <v>668.28</v>
      </c>
      <c r="E22" s="446">
        <v>900.47</v>
      </c>
      <c r="F22" s="446">
        <v>1000</v>
      </c>
      <c r="G22" s="446">
        <v>1141.33</v>
      </c>
      <c r="H22" s="9">
        <v>1250.81</v>
      </c>
      <c r="I22" s="9">
        <v>1650.62</v>
      </c>
      <c r="J22" s="9">
        <v>1896.33</v>
      </c>
      <c r="K22" s="9">
        <v>1960.69</v>
      </c>
      <c r="L22" s="9">
        <v>2310.2199999999998</v>
      </c>
      <c r="M22" s="38">
        <f t="shared" si="2"/>
        <v>37.220680998712837</v>
      </c>
      <c r="N22" s="38">
        <f t="shared" si="2"/>
        <v>40.486605033260233</v>
      </c>
      <c r="O22" s="38">
        <f t="shared" si="0"/>
        <v>47.484878686726468</v>
      </c>
      <c r="P22" s="38">
        <f t="shared" si="0"/>
        <v>51.002453217999786</v>
      </c>
      <c r="Q22" s="38">
        <f t="shared" si="0"/>
        <v>49.403520011081199</v>
      </c>
    </row>
    <row r="23" spans="1:17" ht="16.5" customHeight="1">
      <c r="A23" s="3">
        <v>16</v>
      </c>
      <c r="B23" s="6" t="s">
        <v>31</v>
      </c>
      <c r="C23" s="446">
        <v>7353.21</v>
      </c>
      <c r="D23" s="446">
        <v>7353.21</v>
      </c>
      <c r="E23" s="446">
        <v>7353.21</v>
      </c>
      <c r="F23" s="446">
        <v>15205.33</v>
      </c>
      <c r="G23" s="446">
        <v>16791.54</v>
      </c>
      <c r="H23" s="9">
        <v>14651.48</v>
      </c>
      <c r="I23" s="9">
        <v>20754.98</v>
      </c>
      <c r="J23" s="9">
        <v>21661.46</v>
      </c>
      <c r="K23" s="9">
        <v>25798.27</v>
      </c>
      <c r="L23" s="9">
        <v>31350.47</v>
      </c>
      <c r="M23" s="38">
        <f t="shared" si="2"/>
        <v>50.187489591495194</v>
      </c>
      <c r="N23" s="38">
        <f t="shared" si="2"/>
        <v>35.42865374960612</v>
      </c>
      <c r="O23" s="38">
        <f t="shared" si="2"/>
        <v>33.946049804583808</v>
      </c>
      <c r="P23" s="38">
        <f t="shared" si="2"/>
        <v>58.93933973091994</v>
      </c>
      <c r="Q23" s="38">
        <f t="shared" si="2"/>
        <v>53.560728116675762</v>
      </c>
    </row>
    <row r="24" spans="1:17" ht="16.5" customHeight="1">
      <c r="A24" s="3">
        <v>17</v>
      </c>
      <c r="B24" s="6" t="s">
        <v>32</v>
      </c>
      <c r="C24" s="446">
        <v>4216</v>
      </c>
      <c r="D24" s="446">
        <v>6259</v>
      </c>
      <c r="E24" s="446">
        <v>8429</v>
      </c>
      <c r="F24" s="446">
        <v>9523</v>
      </c>
      <c r="G24" s="446">
        <v>10280</v>
      </c>
      <c r="H24" s="9">
        <v>6613</v>
      </c>
      <c r="I24" s="9">
        <v>7908</v>
      </c>
      <c r="J24" s="9">
        <v>10534</v>
      </c>
      <c r="K24" s="9">
        <v>10635</v>
      </c>
      <c r="L24" s="9">
        <v>15337</v>
      </c>
      <c r="M24" s="38">
        <f t="shared" si="2"/>
        <v>63.753213367609249</v>
      </c>
      <c r="N24" s="38">
        <f t="shared" si="2"/>
        <v>79.147698533131006</v>
      </c>
      <c r="O24" s="38">
        <f t="shared" si="2"/>
        <v>80.017087526105939</v>
      </c>
      <c r="P24" s="38">
        <f t="shared" si="2"/>
        <v>89.543958627174419</v>
      </c>
      <c r="Q24" s="38">
        <f t="shared" si="2"/>
        <v>67.027449957618828</v>
      </c>
    </row>
    <row r="25" spans="1:17" ht="16.5" customHeight="1">
      <c r="A25" s="3">
        <v>18</v>
      </c>
      <c r="B25" s="6" t="s">
        <v>33</v>
      </c>
      <c r="C25" s="446">
        <v>3166.73</v>
      </c>
      <c r="D25" s="446">
        <v>3947.74</v>
      </c>
      <c r="E25" s="446">
        <v>5394.07</v>
      </c>
      <c r="F25" s="446">
        <v>5811.72</v>
      </c>
      <c r="G25" s="446">
        <v>6380.33</v>
      </c>
      <c r="H25" s="9">
        <v>5953.79</v>
      </c>
      <c r="I25" s="9">
        <v>7083.01</v>
      </c>
      <c r="J25" s="9">
        <v>6732.61</v>
      </c>
      <c r="K25" s="9">
        <v>8795.51</v>
      </c>
      <c r="L25" s="9">
        <v>15300.03</v>
      </c>
      <c r="M25" s="38">
        <f t="shared" si="2"/>
        <v>53.188473224618271</v>
      </c>
      <c r="N25" s="38">
        <f t="shared" si="2"/>
        <v>55.735344154533159</v>
      </c>
      <c r="O25" s="38">
        <f t="shared" si="2"/>
        <v>80.118557290560418</v>
      </c>
      <c r="P25" s="38">
        <f t="shared" si="2"/>
        <v>66.075986497656189</v>
      </c>
      <c r="Q25" s="38">
        <f t="shared" si="2"/>
        <v>41.70142150048072</v>
      </c>
    </row>
    <row r="26" spans="1:17" ht="16.5" customHeight="1">
      <c r="A26" s="3">
        <v>19</v>
      </c>
      <c r="B26" s="6" t="s">
        <v>34</v>
      </c>
      <c r="C26" s="446">
        <v>8410</v>
      </c>
      <c r="D26" s="446">
        <v>9927.2800000000007</v>
      </c>
      <c r="E26" s="446">
        <v>10296</v>
      </c>
      <c r="F26" s="446">
        <v>12139</v>
      </c>
      <c r="G26" s="446">
        <v>14942</v>
      </c>
      <c r="H26" s="9">
        <v>16263.04</v>
      </c>
      <c r="I26" s="9">
        <v>19889.16</v>
      </c>
      <c r="J26" s="9">
        <v>24337</v>
      </c>
      <c r="K26" s="9">
        <v>29506</v>
      </c>
      <c r="L26" s="9">
        <v>34644</v>
      </c>
      <c r="M26" s="38">
        <f t="shared" si="2"/>
        <v>51.712348982724009</v>
      </c>
      <c r="N26" s="38">
        <f t="shared" si="2"/>
        <v>49.91301794545371</v>
      </c>
      <c r="O26" s="38">
        <f t="shared" si="2"/>
        <v>42.305953897357931</v>
      </c>
      <c r="P26" s="38">
        <f t="shared" si="2"/>
        <v>41.140784925099979</v>
      </c>
      <c r="Q26" s="38">
        <f t="shared" si="2"/>
        <v>43.130123542316127</v>
      </c>
    </row>
    <row r="27" spans="1:17" ht="16.5" customHeight="1">
      <c r="A27" s="3">
        <v>20</v>
      </c>
      <c r="B27" s="6" t="s">
        <v>35</v>
      </c>
      <c r="C27" s="446">
        <v>7367.12</v>
      </c>
      <c r="D27" s="446">
        <v>8800.9500000000007</v>
      </c>
      <c r="E27" s="446">
        <v>9799.3799999999992</v>
      </c>
      <c r="F27" s="446">
        <v>10698.32</v>
      </c>
      <c r="G27" s="446">
        <v>16325.89</v>
      </c>
      <c r="H27" s="9">
        <v>4548.87</v>
      </c>
      <c r="I27" s="9">
        <v>5461.87</v>
      </c>
      <c r="J27" s="9">
        <v>6785.41</v>
      </c>
      <c r="K27" s="9">
        <v>7280.71</v>
      </c>
      <c r="L27" s="9">
        <v>8955.24</v>
      </c>
      <c r="M27" s="38">
        <f t="shared" si="2"/>
        <v>161.95494705278455</v>
      </c>
      <c r="N27" s="38">
        <f t="shared" si="2"/>
        <v>161.13437339226311</v>
      </c>
      <c r="O27" s="38">
        <f t="shared" si="2"/>
        <v>144.41839181420136</v>
      </c>
      <c r="P27" s="38">
        <f t="shared" si="2"/>
        <v>146.94061430821995</v>
      </c>
      <c r="Q27" s="38">
        <f t="shared" si="2"/>
        <v>182.30544351686834</v>
      </c>
    </row>
    <row r="28" spans="1:17" ht="16.5" customHeight="1">
      <c r="A28" s="3">
        <v>21</v>
      </c>
      <c r="B28" s="6" t="s">
        <v>36</v>
      </c>
      <c r="C28" s="446">
        <v>6533.63</v>
      </c>
      <c r="D28" s="446">
        <v>8076.89</v>
      </c>
      <c r="E28" s="446">
        <v>10171.89</v>
      </c>
      <c r="F28" s="446">
        <v>12620.26</v>
      </c>
      <c r="G28" s="446">
        <v>15973.39</v>
      </c>
      <c r="H28" s="9">
        <v>13763.15</v>
      </c>
      <c r="I28" s="9">
        <v>14802.22</v>
      </c>
      <c r="J28" s="9">
        <v>18378.41</v>
      </c>
      <c r="K28" s="9">
        <v>22520.86</v>
      </c>
      <c r="L28" s="9">
        <v>25578.79</v>
      </c>
      <c r="M28" s="38">
        <f t="shared" si="2"/>
        <v>47.471908683695233</v>
      </c>
      <c r="N28" s="38">
        <f t="shared" si="2"/>
        <v>54.565396271640346</v>
      </c>
      <c r="O28" s="38">
        <f t="shared" si="2"/>
        <v>55.346953300095059</v>
      </c>
      <c r="P28" s="38">
        <f t="shared" si="2"/>
        <v>56.038090907718441</v>
      </c>
      <c r="Q28" s="38">
        <f t="shared" si="2"/>
        <v>62.447793660294323</v>
      </c>
    </row>
    <row r="29" spans="1:17" ht="16.5" customHeight="1">
      <c r="A29" s="3">
        <v>22</v>
      </c>
      <c r="B29" s="6" t="s">
        <v>37</v>
      </c>
      <c r="C29" s="446">
        <v>22879.17</v>
      </c>
      <c r="D29" s="446">
        <v>24478</v>
      </c>
      <c r="E29" s="446">
        <v>35467.910000000003</v>
      </c>
      <c r="F29" s="446">
        <v>42054.14</v>
      </c>
      <c r="G29" s="446">
        <v>48761</v>
      </c>
      <c r="H29" s="9">
        <v>19997.79</v>
      </c>
      <c r="I29" s="9">
        <v>25692.48</v>
      </c>
      <c r="J29" s="9">
        <v>31878.52</v>
      </c>
      <c r="K29" s="9">
        <v>33004.68</v>
      </c>
      <c r="L29" s="9">
        <v>45796.2</v>
      </c>
      <c r="M29" s="38">
        <f t="shared" si="2"/>
        <v>114.40849213838126</v>
      </c>
      <c r="N29" s="38">
        <f t="shared" si="2"/>
        <v>95.273013737871935</v>
      </c>
      <c r="O29" s="38">
        <f t="shared" si="2"/>
        <v>111.25958796079618</v>
      </c>
      <c r="P29" s="38">
        <f t="shared" si="2"/>
        <v>127.41871758792995</v>
      </c>
      <c r="Q29" s="38">
        <f t="shared" si="2"/>
        <v>106.47389958118796</v>
      </c>
    </row>
    <row r="30" spans="1:17" ht="16.5" customHeight="1">
      <c r="A30" s="3">
        <v>23</v>
      </c>
      <c r="B30" s="6" t="s">
        <v>104</v>
      </c>
      <c r="C30" s="446">
        <v>4745.4399999999996</v>
      </c>
      <c r="D30" s="446">
        <v>7033.66</v>
      </c>
      <c r="E30" s="446">
        <v>8465.8799999999992</v>
      </c>
      <c r="F30" s="446">
        <v>9657.5499999999993</v>
      </c>
      <c r="G30" s="446">
        <v>10537.72</v>
      </c>
      <c r="H30" s="9">
        <v>7045.88</v>
      </c>
      <c r="I30" s="9">
        <v>8934.16</v>
      </c>
      <c r="J30" s="9">
        <v>8892.2199999999993</v>
      </c>
      <c r="K30" s="9">
        <v>11610.23</v>
      </c>
      <c r="L30" s="9">
        <v>15284.71</v>
      </c>
      <c r="M30" s="38">
        <f t="shared" si="2"/>
        <v>67.350565152968827</v>
      </c>
      <c r="N30" s="38">
        <f t="shared" si="2"/>
        <v>78.727714748784436</v>
      </c>
      <c r="O30" s="38">
        <f t="shared" si="2"/>
        <v>95.205471749461893</v>
      </c>
      <c r="P30" s="38">
        <f t="shared" si="2"/>
        <v>83.181384003589926</v>
      </c>
      <c r="Q30" s="38">
        <f t="shared" si="2"/>
        <v>68.942884752147734</v>
      </c>
    </row>
    <row r="31" spans="1:17" ht="16.5" customHeight="1">
      <c r="A31" s="3">
        <v>24</v>
      </c>
      <c r="B31" s="6" t="s">
        <v>39</v>
      </c>
      <c r="C31" s="446">
        <v>6257.99</v>
      </c>
      <c r="D31" s="446">
        <v>6711.03</v>
      </c>
      <c r="E31" s="446">
        <v>8095.43</v>
      </c>
      <c r="F31" s="446">
        <v>9589.2800000000007</v>
      </c>
      <c r="G31" s="446">
        <v>12417.08</v>
      </c>
      <c r="H31" s="9">
        <v>3082.98</v>
      </c>
      <c r="I31" s="9">
        <v>4025.13</v>
      </c>
      <c r="J31" s="9">
        <v>3404.35</v>
      </c>
      <c r="K31" s="9">
        <v>4486.72</v>
      </c>
      <c r="L31" s="9">
        <v>8642.42</v>
      </c>
      <c r="M31" s="38">
        <f t="shared" si="2"/>
        <v>202.98509883294736</v>
      </c>
      <c r="N31" s="38">
        <f t="shared" si="2"/>
        <v>166.72827958351655</v>
      </c>
      <c r="O31" s="38">
        <f t="shared" si="2"/>
        <v>237.79664253087964</v>
      </c>
      <c r="P31" s="38">
        <f t="shared" si="2"/>
        <v>213.72583981171101</v>
      </c>
      <c r="Q31" s="38">
        <f t="shared" si="2"/>
        <v>143.67596113125722</v>
      </c>
    </row>
    <row r="32" spans="1:17" ht="16.5" customHeight="1">
      <c r="A32" s="3">
        <v>25</v>
      </c>
      <c r="B32" s="6" t="s">
        <v>40</v>
      </c>
      <c r="C32" s="446">
        <v>7691.85</v>
      </c>
      <c r="D32" s="446">
        <v>11269.49</v>
      </c>
      <c r="E32" s="446">
        <v>13802.12</v>
      </c>
      <c r="F32" s="446">
        <v>13351.22</v>
      </c>
      <c r="G32" s="446">
        <v>15472.98</v>
      </c>
      <c r="H32" s="9">
        <v>10943.62</v>
      </c>
      <c r="I32" s="9">
        <v>12190.11</v>
      </c>
      <c r="J32" s="9">
        <v>12568.73</v>
      </c>
      <c r="K32" s="9">
        <v>14172.46</v>
      </c>
      <c r="L32" s="9">
        <v>19286.21</v>
      </c>
      <c r="M32" s="38">
        <f t="shared" si="2"/>
        <v>70.28615759684638</v>
      </c>
      <c r="N32" s="38">
        <f t="shared" si="2"/>
        <v>92.44781220185871</v>
      </c>
      <c r="O32" s="38">
        <f t="shared" si="2"/>
        <v>109.81316330289536</v>
      </c>
      <c r="P32" s="38">
        <f t="shared" si="2"/>
        <v>94.205381422844027</v>
      </c>
      <c r="Q32" s="38">
        <f t="shared" si="2"/>
        <v>80.228204504669392</v>
      </c>
    </row>
    <row r="33" spans="1:17" ht="16.5" customHeight="1">
      <c r="A33" s="3">
        <v>26</v>
      </c>
      <c r="B33" s="6" t="s">
        <v>41</v>
      </c>
      <c r="C33" s="446">
        <v>11005.84</v>
      </c>
      <c r="D33" s="446">
        <v>14265.63</v>
      </c>
      <c r="E33" s="446">
        <v>17275.68</v>
      </c>
      <c r="F33" s="446">
        <v>21545.200000000001</v>
      </c>
      <c r="G33" s="446">
        <v>23866.080000000002</v>
      </c>
      <c r="H33" s="9">
        <v>15855.11</v>
      </c>
      <c r="I33" s="9">
        <v>20519.2</v>
      </c>
      <c r="J33" s="9">
        <v>21831.279999999999</v>
      </c>
      <c r="K33" s="9">
        <v>26777.87</v>
      </c>
      <c r="L33" s="9">
        <v>26119.22</v>
      </c>
      <c r="M33" s="38">
        <f t="shared" si="2"/>
        <v>69.415097088572708</v>
      </c>
      <c r="N33" s="38">
        <f t="shared" si="2"/>
        <v>69.523324496081713</v>
      </c>
      <c r="O33" s="38">
        <f t="shared" si="2"/>
        <v>79.132694006031727</v>
      </c>
      <c r="P33" s="38">
        <f t="shared" si="2"/>
        <v>80.458976012655242</v>
      </c>
      <c r="Q33" s="38">
        <f t="shared" si="2"/>
        <v>91.373632137560008</v>
      </c>
    </row>
    <row r="34" spans="1:17" ht="16.5" customHeight="1">
      <c r="A34" s="3">
        <v>27</v>
      </c>
      <c r="B34" s="6" t="s">
        <v>42</v>
      </c>
      <c r="C34" s="446">
        <v>19603.89</v>
      </c>
      <c r="D34" s="446">
        <v>14156.88</v>
      </c>
      <c r="E34" s="446">
        <v>19711.009999999998</v>
      </c>
      <c r="F34" s="446">
        <v>22659.18</v>
      </c>
      <c r="G34" s="446">
        <v>24661.57</v>
      </c>
      <c r="H34" s="9">
        <v>25831</v>
      </c>
      <c r="I34" s="9">
        <v>35769</v>
      </c>
      <c r="J34" s="9">
        <v>35304.89</v>
      </c>
      <c r="K34" s="9">
        <v>41237.89</v>
      </c>
      <c r="L34" s="9">
        <v>51964.43</v>
      </c>
      <c r="M34" s="38">
        <f t="shared" si="2"/>
        <v>75.892880647284272</v>
      </c>
      <c r="N34" s="38">
        <f t="shared" si="2"/>
        <v>39.57862953954541</v>
      </c>
      <c r="O34" s="38">
        <f t="shared" si="2"/>
        <v>55.830821169532044</v>
      </c>
      <c r="P34" s="38">
        <f t="shared" si="2"/>
        <v>54.947476701645016</v>
      </c>
      <c r="Q34" s="38">
        <f t="shared" si="2"/>
        <v>47.458559633965002</v>
      </c>
    </row>
    <row r="35" spans="1:17" ht="16.5" customHeight="1">
      <c r="A35" s="3">
        <v>28</v>
      </c>
      <c r="B35" s="6" t="s">
        <v>43</v>
      </c>
      <c r="C35" s="446">
        <v>12178.02</v>
      </c>
      <c r="D35" s="446">
        <v>13761.44</v>
      </c>
      <c r="E35" s="446">
        <v>21880.75</v>
      </c>
      <c r="F35" s="446">
        <v>24954.06</v>
      </c>
      <c r="G35" s="446">
        <v>26883.7</v>
      </c>
      <c r="H35" s="9">
        <v>10435.19</v>
      </c>
      <c r="I35" s="9">
        <v>12469.51</v>
      </c>
      <c r="J35" s="9">
        <v>14161.31</v>
      </c>
      <c r="K35" s="9">
        <v>14651.8</v>
      </c>
      <c r="L35" s="9">
        <v>25081.21</v>
      </c>
      <c r="M35" s="38">
        <f t="shared" si="2"/>
        <v>116.70146878015638</v>
      </c>
      <c r="N35" s="38">
        <f t="shared" si="2"/>
        <v>110.36071184834046</v>
      </c>
      <c r="O35" s="38">
        <f t="shared" si="2"/>
        <v>154.51077619231555</v>
      </c>
      <c r="P35" s="38">
        <f t="shared" si="2"/>
        <v>170.31395459943491</v>
      </c>
      <c r="Q35" s="38">
        <f t="shared" si="2"/>
        <v>107.18661499983455</v>
      </c>
    </row>
    <row r="36" spans="1:17" s="79" customFormat="1" ht="16.5" customHeight="1">
      <c r="A36" s="4"/>
      <c r="B36" s="4" t="s">
        <v>44</v>
      </c>
      <c r="C36" s="447">
        <f t="shared" ref="C36:L36" si="3">SUM(C19:C35)</f>
        <v>142820.79</v>
      </c>
      <c r="D36" s="447">
        <f t="shared" si="3"/>
        <v>160065.78</v>
      </c>
      <c r="E36" s="447">
        <f t="shared" si="3"/>
        <v>205786.49000000002</v>
      </c>
      <c r="F36" s="447">
        <f t="shared" si="3"/>
        <v>248699.75999999998</v>
      </c>
      <c r="G36" s="447">
        <f t="shared" si="3"/>
        <v>290506.37</v>
      </c>
      <c r="H36" s="77">
        <f t="shared" si="3"/>
        <v>202845.61</v>
      </c>
      <c r="I36" s="77">
        <f t="shared" si="3"/>
        <v>252504.22000000003</v>
      </c>
      <c r="J36" s="77">
        <f t="shared" si="3"/>
        <v>275920.48</v>
      </c>
      <c r="K36" s="77">
        <f t="shared" si="3"/>
        <v>318959.40000000002</v>
      </c>
      <c r="L36" s="77">
        <f t="shared" si="3"/>
        <v>418144.58000000007</v>
      </c>
      <c r="M36" s="43">
        <f t="shared" si="2"/>
        <v>70.408617667397394</v>
      </c>
      <c r="N36" s="43">
        <f t="shared" si="2"/>
        <v>63.391328667695134</v>
      </c>
      <c r="O36" s="43">
        <f t="shared" si="2"/>
        <v>74.581810672408238</v>
      </c>
      <c r="P36" s="43">
        <f t="shared" si="2"/>
        <v>77.972230948515701</v>
      </c>
      <c r="Q36" s="43">
        <f t="shared" si="2"/>
        <v>69.475101171943905</v>
      </c>
    </row>
    <row r="37" spans="1:17" ht="16.5" customHeight="1">
      <c r="A37" s="6"/>
      <c r="B37" s="4" t="s">
        <v>61</v>
      </c>
      <c r="C37" s="446"/>
      <c r="D37" s="446"/>
      <c r="E37" s="446"/>
      <c r="F37" s="446"/>
      <c r="G37" s="446"/>
      <c r="H37" s="13"/>
      <c r="I37" s="13"/>
      <c r="J37" s="9"/>
      <c r="K37" s="9"/>
      <c r="L37" s="9"/>
      <c r="M37" s="38"/>
      <c r="N37" s="38"/>
      <c r="O37" s="38"/>
      <c r="P37" s="38"/>
      <c r="Q37" s="38"/>
    </row>
    <row r="38" spans="1:17" ht="16.5" customHeight="1">
      <c r="A38" s="3">
        <v>29</v>
      </c>
      <c r="B38" s="6" t="s">
        <v>46</v>
      </c>
      <c r="C38" s="446">
        <v>1713.62</v>
      </c>
      <c r="D38" s="446">
        <v>2905.18</v>
      </c>
      <c r="E38" s="446">
        <v>3836.32</v>
      </c>
      <c r="F38" s="446">
        <v>3431.86</v>
      </c>
      <c r="G38" s="446">
        <v>3994.34</v>
      </c>
      <c r="H38" s="9">
        <v>8785.0400000000009</v>
      </c>
      <c r="I38" s="9">
        <v>9635.35</v>
      </c>
      <c r="J38" s="9">
        <v>11128.24</v>
      </c>
      <c r="K38" s="9">
        <v>10544.26</v>
      </c>
      <c r="L38" s="9">
        <v>14350</v>
      </c>
      <c r="M38" s="38">
        <f t="shared" ref="M38:Q42" si="4">+C38/H38*100</f>
        <v>19.506114940853994</v>
      </c>
      <c r="N38" s="38">
        <f t="shared" si="4"/>
        <v>30.15126591146144</v>
      </c>
      <c r="O38" s="38">
        <f t="shared" si="4"/>
        <v>34.473735289677435</v>
      </c>
      <c r="P38" s="38">
        <f t="shared" si="4"/>
        <v>32.547186810643893</v>
      </c>
      <c r="Q38" s="38">
        <f t="shared" si="4"/>
        <v>27.835121951219516</v>
      </c>
    </row>
    <row r="39" spans="1:17" ht="16.5" customHeight="1">
      <c r="A39" s="3">
        <v>30</v>
      </c>
      <c r="B39" s="6" t="s">
        <v>47</v>
      </c>
      <c r="C39" s="446">
        <v>445</v>
      </c>
      <c r="D39" s="446">
        <v>688</v>
      </c>
      <c r="E39" s="446">
        <v>868</v>
      </c>
      <c r="F39" s="446">
        <v>1011</v>
      </c>
      <c r="G39" s="446">
        <v>1005</v>
      </c>
      <c r="H39" s="9">
        <v>1112</v>
      </c>
      <c r="I39" s="9">
        <v>1077</v>
      </c>
      <c r="J39" s="9">
        <v>1466</v>
      </c>
      <c r="K39" s="9">
        <v>1607</v>
      </c>
      <c r="L39" s="9">
        <v>2809</v>
      </c>
      <c r="M39" s="38">
        <f t="shared" si="4"/>
        <v>40.017985611510795</v>
      </c>
      <c r="N39" s="38">
        <f t="shared" si="4"/>
        <v>63.881151346332409</v>
      </c>
      <c r="O39" s="38">
        <f t="shared" si="4"/>
        <v>59.208731241473401</v>
      </c>
      <c r="P39" s="38">
        <f t="shared" si="4"/>
        <v>62.912258867454881</v>
      </c>
      <c r="Q39" s="38">
        <f t="shared" si="4"/>
        <v>35.777856888572444</v>
      </c>
    </row>
    <row r="40" spans="1:17" ht="16.5" customHeight="1">
      <c r="A40" s="6"/>
      <c r="B40" s="4" t="s">
        <v>62</v>
      </c>
      <c r="C40" s="447">
        <f t="shared" ref="C40:I40" si="5">SUM(C38:C39)</f>
        <v>2158.62</v>
      </c>
      <c r="D40" s="447">
        <f t="shared" si="5"/>
        <v>3593.18</v>
      </c>
      <c r="E40" s="447">
        <f>SUM(E38:E39)</f>
        <v>4704.32</v>
      </c>
      <c r="F40" s="447">
        <f>SUM(F38:F39)</f>
        <v>4442.8600000000006</v>
      </c>
      <c r="G40" s="447">
        <f>SUM(G38:G39)</f>
        <v>4999.34</v>
      </c>
      <c r="H40" s="77">
        <f t="shared" si="5"/>
        <v>9897.0400000000009</v>
      </c>
      <c r="I40" s="77">
        <f t="shared" si="5"/>
        <v>10712.35</v>
      </c>
      <c r="J40" s="77">
        <f>SUM(J38:J39)</f>
        <v>12594.24</v>
      </c>
      <c r="K40" s="77">
        <f>SUM(K38:K39)</f>
        <v>12151.26</v>
      </c>
      <c r="L40" s="77">
        <f>SUM(L38:L39)</f>
        <v>17159</v>
      </c>
      <c r="M40" s="43">
        <f t="shared" si="4"/>
        <v>21.810763622254729</v>
      </c>
      <c r="N40" s="43">
        <f t="shared" si="4"/>
        <v>33.542406661470167</v>
      </c>
      <c r="O40" s="43">
        <f t="shared" si="4"/>
        <v>37.352948649541382</v>
      </c>
      <c r="P40" s="43">
        <f t="shared" si="4"/>
        <v>36.562957257107499</v>
      </c>
      <c r="Q40" s="43">
        <f t="shared" si="4"/>
        <v>29.135380849699864</v>
      </c>
    </row>
    <row r="41" spans="1:17" ht="6.75" customHeight="1">
      <c r="A41" s="6"/>
      <c r="B41" s="6"/>
      <c r="C41" s="446"/>
      <c r="D41" s="446"/>
      <c r="E41" s="446"/>
      <c r="F41" s="446"/>
      <c r="G41" s="446"/>
      <c r="H41" s="13"/>
      <c r="I41" s="13"/>
      <c r="J41" s="9"/>
      <c r="K41" s="9"/>
      <c r="L41" s="9"/>
      <c r="M41" s="38"/>
      <c r="N41" s="38"/>
      <c r="O41" s="43"/>
      <c r="P41" s="43"/>
      <c r="Q41" s="43"/>
    </row>
    <row r="42" spans="1:17" s="79" customFormat="1">
      <c r="A42" s="4"/>
      <c r="B42" s="4" t="s">
        <v>49</v>
      </c>
      <c r="C42" s="447">
        <f t="shared" ref="C42:I42" si="6">+C17+C36+C40</f>
        <v>166407.88</v>
      </c>
      <c r="D42" s="447">
        <f t="shared" si="6"/>
        <v>187673</v>
      </c>
      <c r="E42" s="447">
        <f>+E17+E36+E40</f>
        <v>241251.24000000002</v>
      </c>
      <c r="F42" s="447">
        <f>+F17+F36+F40</f>
        <v>290531.81</v>
      </c>
      <c r="G42" s="447">
        <f>+G17+G36+G40</f>
        <v>338670.48000000004</v>
      </c>
      <c r="H42" s="77">
        <f t="shared" si="6"/>
        <v>236451.25</v>
      </c>
      <c r="I42" s="77">
        <f t="shared" si="6"/>
        <v>292046.17</v>
      </c>
      <c r="J42" s="77">
        <f>+J17+J36+J40</f>
        <v>319635.36</v>
      </c>
      <c r="K42" s="77">
        <f>+K17+K36+K40</f>
        <v>368641.38</v>
      </c>
      <c r="L42" s="77">
        <f>+L17+L36+L40</f>
        <v>481621.5400000001</v>
      </c>
      <c r="M42" s="43">
        <f>+C42/H42*100</f>
        <v>70.377246895501727</v>
      </c>
      <c r="N42" s="43">
        <f>+D42/I42*100</f>
        <v>64.26141455647236</v>
      </c>
      <c r="O42" s="43">
        <f t="shared" si="4"/>
        <v>75.477018562652148</v>
      </c>
      <c r="P42" s="43">
        <f t="shared" si="4"/>
        <v>78.811502387496489</v>
      </c>
      <c r="Q42" s="43">
        <f t="shared" si="4"/>
        <v>70.318798449089286</v>
      </c>
    </row>
    <row r="43" spans="1:17">
      <c r="B43" s="29" t="s">
        <v>199</v>
      </c>
    </row>
  </sheetData>
  <mergeCells count="6">
    <mergeCell ref="A1:N1"/>
    <mergeCell ref="A2:A4"/>
    <mergeCell ref="B2:B3"/>
    <mergeCell ref="C2:G2"/>
    <mergeCell ref="H2:L2"/>
    <mergeCell ref="M2:Q2"/>
  </mergeCells>
  <phoneticPr fontId="63" type="noConversion"/>
  <printOptions horizontalCentered="1"/>
  <pageMargins left="0.35433070866141736" right="0.15748031496062992" top="0.78740157480314965" bottom="0.19685039370078741" header="0" footer="0"/>
  <pageSetup paperSize="9" scale="69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7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H3" sqref="H3"/>
    </sheetView>
  </sheetViews>
  <sheetFormatPr defaultRowHeight="12.75"/>
  <cols>
    <col min="1" max="1" width="5.42578125" style="29" customWidth="1"/>
    <col min="2" max="2" width="35.140625" style="29" customWidth="1"/>
    <col min="3" max="4" width="11.42578125" style="24" customWidth="1"/>
    <col min="5" max="6" width="11.28515625" style="24" customWidth="1"/>
    <col min="7" max="11" width="11.42578125" style="24" customWidth="1"/>
    <col min="12" max="12" width="11.85546875" style="24" customWidth="1"/>
    <col min="13" max="14" width="11.42578125" style="29" customWidth="1"/>
    <col min="15" max="15" width="11.5703125" style="29" bestFit="1" customWidth="1"/>
    <col min="16" max="16" width="11.5703125" style="29" customWidth="1"/>
    <col min="17" max="17" width="9.85546875" style="29" bestFit="1" customWidth="1"/>
    <col min="18" max="16384" width="9.140625" style="29"/>
  </cols>
  <sheetData>
    <row r="1" spans="1:17" ht="44.25" customHeight="1">
      <c r="A1" s="602" t="s">
        <v>282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24"/>
      <c r="N1" s="624"/>
    </row>
    <row r="2" spans="1:17" ht="39.75" customHeight="1">
      <c r="A2" s="592" t="s">
        <v>51</v>
      </c>
      <c r="B2" s="633" t="s">
        <v>315</v>
      </c>
      <c r="C2" s="593" t="s">
        <v>90</v>
      </c>
      <c r="D2" s="594"/>
      <c r="E2" s="594"/>
      <c r="F2" s="594"/>
      <c r="G2" s="595"/>
      <c r="H2" s="593" t="s">
        <v>91</v>
      </c>
      <c r="I2" s="594"/>
      <c r="J2" s="594"/>
      <c r="K2" s="594"/>
      <c r="L2" s="595"/>
      <c r="M2" s="635" t="s">
        <v>302</v>
      </c>
      <c r="N2" s="635"/>
      <c r="O2" s="635"/>
      <c r="P2" s="635"/>
      <c r="Q2" s="635"/>
    </row>
    <row r="3" spans="1:17" ht="34.5" customHeight="1">
      <c r="A3" s="592"/>
      <c r="B3" s="634"/>
      <c r="C3" s="1" t="s">
        <v>75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92</v>
      </c>
      <c r="J3" s="1" t="s">
        <v>93</v>
      </c>
      <c r="K3" s="1" t="s">
        <v>97</v>
      </c>
      <c r="L3" s="1" t="s">
        <v>95</v>
      </c>
      <c r="M3" s="437" t="s">
        <v>75</v>
      </c>
      <c r="N3" s="437" t="s">
        <v>92</v>
      </c>
      <c r="O3" s="437" t="s">
        <v>93</v>
      </c>
      <c r="P3" s="437" t="s">
        <v>94</v>
      </c>
      <c r="Q3" s="437" t="s">
        <v>98</v>
      </c>
    </row>
    <row r="4" spans="1:17" ht="19.5" customHeight="1">
      <c r="A4" s="108"/>
      <c r="B4" s="286">
        <v>41129</v>
      </c>
      <c r="C4" s="1"/>
      <c r="D4" s="1"/>
      <c r="E4" s="1"/>
      <c r="F4" s="1"/>
      <c r="G4" s="1"/>
      <c r="H4" s="1"/>
      <c r="I4" s="1"/>
      <c r="J4" s="1"/>
      <c r="K4" s="1"/>
      <c r="L4" s="1"/>
      <c r="M4" s="437"/>
      <c r="N4" s="437"/>
      <c r="O4" s="437"/>
      <c r="P4" s="437"/>
      <c r="Q4" s="437"/>
    </row>
    <row r="5" spans="1:17" ht="15.75" customHeight="1">
      <c r="A5" s="6"/>
      <c r="B5" s="4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439"/>
      <c r="N5" s="439"/>
      <c r="O5" s="459"/>
      <c r="P5" s="459"/>
      <c r="Q5" s="459"/>
    </row>
    <row r="6" spans="1:17" ht="15.75" customHeight="1">
      <c r="A6" s="3">
        <v>1</v>
      </c>
      <c r="B6" s="6" t="s">
        <v>59</v>
      </c>
      <c r="C6" s="76">
        <f ca="1">+'Salaries (% Plan Expenditure)'!C6</f>
        <v>515.9</v>
      </c>
      <c r="D6" s="76">
        <f ca="1">+'Salaries (% Plan Expenditure)'!D6</f>
        <v>842.67</v>
      </c>
      <c r="E6" s="76">
        <f ca="1">+'Salaries (% Plan Expenditure)'!E6</f>
        <v>1462.47</v>
      </c>
      <c r="F6" s="76">
        <f ca="1">+'Salaries (% Plan Expenditure)'!F6</f>
        <v>1395.47</v>
      </c>
      <c r="G6" s="76">
        <f ca="1">+'Salaries (% Plan Expenditure)'!G6</f>
        <v>1654.94</v>
      </c>
      <c r="H6" s="76">
        <f ca="1">+'Worksheet Pension &amp; RE'!K6-'Worksheet Pension &amp; RE'!C6-'IP as % of TRR'!C6</f>
        <v>2011.7700000000002</v>
      </c>
      <c r="I6" s="76">
        <f ca="1">+'Worksheet Pension &amp; RE'!L6-'Worksheet Pension &amp; RE'!D6-'IP as % of TRR'!D6</f>
        <v>2578.5500000000002</v>
      </c>
      <c r="J6" s="76">
        <f ca="1">+'Worksheet Pension &amp; RE'!M6-'Worksheet Pension &amp; RE'!E6-'IP as % of TRR'!E6</f>
        <v>3285.6800000000003</v>
      </c>
      <c r="K6" s="76">
        <f ca="1">+'Worksheet Pension &amp; RE'!N6-'Worksheet Pension &amp; RE'!F6-'IP as % of TRR'!F6</f>
        <v>3243.4</v>
      </c>
      <c r="L6" s="76">
        <f ca="1">+'Worksheet Pension &amp; RE'!O6-'Worksheet Pension &amp; RE'!G6-'IP as % of TRR'!G6</f>
        <v>3645.4500000000003</v>
      </c>
      <c r="M6" s="446">
        <f>C6/H6*100</f>
        <v>25.64408456235056</v>
      </c>
      <c r="N6" s="446">
        <f>D6/I6*100</f>
        <v>32.679994570591994</v>
      </c>
      <c r="O6" s="446">
        <f>E6/J6*100</f>
        <v>44.510420978305859</v>
      </c>
      <c r="P6" s="446">
        <f>F6/K6*100</f>
        <v>43.024912129247085</v>
      </c>
      <c r="Q6" s="446">
        <f>G6/L6*100</f>
        <v>45.397413213732186</v>
      </c>
    </row>
    <row r="7" spans="1:17" ht="15.75" customHeight="1">
      <c r="A7" s="3">
        <v>2</v>
      </c>
      <c r="B7" s="6" t="s">
        <v>15</v>
      </c>
      <c r="C7" s="76">
        <f ca="1">+'Salaries (% Plan Expenditure)'!C7</f>
        <v>5766.86</v>
      </c>
      <c r="D7" s="76">
        <f ca="1">+'Salaries (% Plan Expenditure)'!D7</f>
        <v>5415.29</v>
      </c>
      <c r="E7" s="76">
        <f ca="1">+'Salaries (% Plan Expenditure)'!E7</f>
        <v>6466.32</v>
      </c>
      <c r="F7" s="76">
        <f ca="1">+'Salaries (% Plan Expenditure)'!F7</f>
        <v>8521.07</v>
      </c>
      <c r="G7" s="76">
        <f ca="1">+'Salaries (% Plan Expenditure)'!G7</f>
        <v>7541.38</v>
      </c>
      <c r="H7" s="76">
        <f ca="1">+'Worksheet Pension &amp; RE'!K7-'Worksheet Pension &amp; RE'!C7-'IP as % of TRR'!C7</f>
        <v>9890.75</v>
      </c>
      <c r="I7" s="76">
        <f ca="1">+'Worksheet Pension &amp; RE'!L7-'Worksheet Pension &amp; RE'!D7-'IP as % of TRR'!D7</f>
        <v>11235.2</v>
      </c>
      <c r="J7" s="76">
        <f ca="1">+'Worksheet Pension &amp; RE'!M7-'Worksheet Pension &amp; RE'!E7-'IP as % of TRR'!E7</f>
        <v>14235.279999999999</v>
      </c>
      <c r="K7" s="76">
        <f ca="1">+'Worksheet Pension &amp; RE'!N7-'Worksheet Pension &amp; RE'!F7-'IP as % of TRR'!F7</f>
        <v>21766.15</v>
      </c>
      <c r="L7" s="76">
        <f ca="1">+'Worksheet Pension &amp; RE'!O7-'Worksheet Pension &amp; RE'!G7-'IP as % of TRR'!G7</f>
        <v>22414.260000000002</v>
      </c>
      <c r="M7" s="446">
        <f t="shared" ref="M7:Q17" si="0">C7/H7*100</f>
        <v>58.305588554962974</v>
      </c>
      <c r="N7" s="446">
        <f t="shared" si="0"/>
        <v>48.199319994303615</v>
      </c>
      <c r="O7" s="446">
        <f t="shared" si="0"/>
        <v>45.424607032668135</v>
      </c>
      <c r="P7" s="446">
        <f t="shared" si="0"/>
        <v>39.148264621901433</v>
      </c>
      <c r="Q7" s="446">
        <f t="shared" si="0"/>
        <v>33.645456062346021</v>
      </c>
    </row>
    <row r="8" spans="1:17" ht="15.75" customHeight="1">
      <c r="A8" s="3">
        <v>3</v>
      </c>
      <c r="B8" s="6" t="s">
        <v>16</v>
      </c>
      <c r="C8" s="76">
        <f ca="1">+'Salaries (% Plan Expenditure)'!C8</f>
        <v>3014.89</v>
      </c>
      <c r="D8" s="76">
        <f ca="1">+'Salaries (% Plan Expenditure)'!D8</f>
        <v>3314.89</v>
      </c>
      <c r="E8" s="76">
        <f ca="1">+'Salaries (% Plan Expenditure)'!E8</f>
        <v>4094.66</v>
      </c>
      <c r="F8" s="76">
        <f ca="1">+'Salaries (% Plan Expenditure)'!F8</f>
        <v>5166.3899999999994</v>
      </c>
      <c r="G8" s="76">
        <f ca="1">+'Salaries (% Plan Expenditure)'!G8</f>
        <v>5881.65</v>
      </c>
      <c r="H8" s="76">
        <f ca="1">+'Worksheet Pension &amp; RE'!K8-'Worksheet Pension &amp; RE'!C8-'IP as % of TRR'!C8</f>
        <v>5630.51</v>
      </c>
      <c r="I8" s="76">
        <f ca="1">+'Worksheet Pension &amp; RE'!L8-'Worksheet Pension &amp; RE'!D8-'IP as % of TRR'!D8</f>
        <v>6390.66</v>
      </c>
      <c r="J8" s="76">
        <f ca="1">+'Worksheet Pension &amp; RE'!M8-'Worksheet Pension &amp; RE'!E8-'IP as % of TRR'!E8</f>
        <v>7847.1999999999989</v>
      </c>
      <c r="K8" s="76">
        <f ca="1">+'Worksheet Pension &amp; RE'!N8-'Worksheet Pension &amp; RE'!F8-'IP as % of TRR'!F8</f>
        <v>9190.27</v>
      </c>
      <c r="L8" s="76">
        <f ca="1">+'Worksheet Pension &amp; RE'!O8-'Worksheet Pension &amp; RE'!G8-'IP as % of TRR'!G8</f>
        <v>9681.8799999999992</v>
      </c>
      <c r="M8" s="446">
        <f t="shared" si="0"/>
        <v>53.545593560796448</v>
      </c>
      <c r="N8" s="446">
        <f t="shared" si="0"/>
        <v>51.870855279423409</v>
      </c>
      <c r="O8" s="446">
        <f t="shared" si="0"/>
        <v>52.179885819145689</v>
      </c>
      <c r="P8" s="446">
        <f t="shared" si="0"/>
        <v>56.215867433709775</v>
      </c>
      <c r="Q8" s="446">
        <f t="shared" si="0"/>
        <v>60.749048738468147</v>
      </c>
    </row>
    <row r="9" spans="1:17" ht="15.75" customHeight="1">
      <c r="A9" s="3">
        <v>4</v>
      </c>
      <c r="B9" s="6" t="s">
        <v>60</v>
      </c>
      <c r="C9" s="76">
        <f ca="1">+'Salaries (% Plan Expenditure)'!C9</f>
        <v>4475</v>
      </c>
      <c r="D9" s="76">
        <f ca="1">+'Salaries (% Plan Expenditure)'!D9</f>
        <v>5077.78</v>
      </c>
      <c r="E9" s="76">
        <f ca="1">+'Salaries (% Plan Expenditure)'!E9</f>
        <v>6022.81</v>
      </c>
      <c r="F9" s="76">
        <f ca="1">+'Salaries (% Plan Expenditure)'!F9</f>
        <v>7722</v>
      </c>
      <c r="G9" s="76">
        <f ca="1">+'Salaries (% Plan Expenditure)'!G9</f>
        <v>11776</v>
      </c>
      <c r="H9" s="76">
        <f ca="1">+'Worksheet Pension &amp; RE'!K9-'Worksheet Pension &amp; RE'!C9-'IP as % of TRR'!C9</f>
        <v>8561.2400000000016</v>
      </c>
      <c r="I9" s="76">
        <f ca="1">+'Worksheet Pension &amp; RE'!L9-'Worksheet Pension &amp; RE'!D9-'IP as % of TRR'!D9</f>
        <v>9200.8200000000015</v>
      </c>
      <c r="J9" s="76">
        <f ca="1">+'Worksheet Pension &amp; RE'!M9-'Worksheet Pension &amp; RE'!E9-'IP as % of TRR'!E9</f>
        <v>11617.289999999999</v>
      </c>
      <c r="K9" s="76">
        <f ca="1">+'Worksheet Pension &amp; RE'!N9-'Worksheet Pension &amp; RE'!F9-'IP as % of TRR'!F9</f>
        <v>13940.869999999999</v>
      </c>
      <c r="L9" s="76">
        <f ca="1">+'Worksheet Pension &amp; RE'!O9-'Worksheet Pension &amp; RE'!G9-'IP as % of TRR'!G9</f>
        <v>17739.79</v>
      </c>
      <c r="M9" s="446">
        <f t="shared" si="0"/>
        <v>52.270465493316379</v>
      </c>
      <c r="N9" s="446">
        <f t="shared" si="0"/>
        <v>55.188341908655957</v>
      </c>
      <c r="O9" s="446">
        <f t="shared" si="0"/>
        <v>51.84350222814443</v>
      </c>
      <c r="P9" s="446">
        <f t="shared" si="0"/>
        <v>55.391091086854694</v>
      </c>
      <c r="Q9" s="446">
        <f t="shared" si="0"/>
        <v>66.381845557360037</v>
      </c>
    </row>
    <row r="10" spans="1:17" ht="15.75" customHeight="1">
      <c r="A10" s="3">
        <v>5</v>
      </c>
      <c r="B10" s="6" t="s">
        <v>18</v>
      </c>
      <c r="C10" s="76">
        <f ca="1">+'Salaries (% Plan Expenditure)'!C10</f>
        <v>890.17</v>
      </c>
      <c r="D10" s="76">
        <f ca="1">+'Salaries (% Plan Expenditure)'!D10</f>
        <v>1063.32</v>
      </c>
      <c r="E10" s="76">
        <f ca="1">+'Salaries (% Plan Expenditure)'!E10</f>
        <v>1148.8900000000001</v>
      </c>
      <c r="F10" s="76">
        <f ca="1">+'Salaries (% Plan Expenditure)'!F10</f>
        <v>1673.15</v>
      </c>
      <c r="G10" s="76">
        <f ca="1">+'Salaries (% Plan Expenditure)'!G10</f>
        <v>1841.66</v>
      </c>
      <c r="H10" s="76">
        <f ca="1">+'Worksheet Pension &amp; RE'!K10-'Worksheet Pension &amp; RE'!C10-'IP as % of TRR'!C10</f>
        <v>1788.27</v>
      </c>
      <c r="I10" s="76">
        <f ca="1">+'Worksheet Pension &amp; RE'!L10-'Worksheet Pension &amp; RE'!D10-'IP as % of TRR'!D10</f>
        <v>2041.4</v>
      </c>
      <c r="J10" s="76">
        <f ca="1">+'Worksheet Pension &amp; RE'!M10-'Worksheet Pension &amp; RE'!E10-'IP as % of TRR'!E10</f>
        <v>2399.04</v>
      </c>
      <c r="K10" s="76">
        <f ca="1">+'Worksheet Pension &amp; RE'!N10-'Worksheet Pension &amp; RE'!F10-'IP as % of TRR'!F10</f>
        <v>3313.0600000000004</v>
      </c>
      <c r="L10" s="76">
        <f ca="1">+'Worksheet Pension &amp; RE'!O10-'Worksheet Pension &amp; RE'!G10-'IP as % of TRR'!G10</f>
        <v>3962.06</v>
      </c>
      <c r="M10" s="446">
        <f t="shared" si="0"/>
        <v>49.778277329486038</v>
      </c>
      <c r="N10" s="446">
        <f t="shared" si="0"/>
        <v>52.087782894092285</v>
      </c>
      <c r="O10" s="446">
        <f t="shared" si="0"/>
        <v>47.889572495664936</v>
      </c>
      <c r="P10" s="446">
        <f t="shared" si="0"/>
        <v>50.50165104163522</v>
      </c>
      <c r="Q10" s="446">
        <f t="shared" si="0"/>
        <v>46.482385425763368</v>
      </c>
    </row>
    <row r="11" spans="1:17" ht="15.75" customHeight="1">
      <c r="A11" s="3">
        <v>6</v>
      </c>
      <c r="B11" s="6" t="s">
        <v>19</v>
      </c>
      <c r="C11" s="76">
        <f ca="1">+'Salaries (% Plan Expenditure)'!C11</f>
        <v>940.77</v>
      </c>
      <c r="D11" s="76">
        <f ca="1">+'Salaries (% Plan Expenditure)'!D11</f>
        <v>1015.19</v>
      </c>
      <c r="E11" s="76">
        <f ca="1">+'Salaries (% Plan Expenditure)'!E11</f>
        <v>1492.66</v>
      </c>
      <c r="F11" s="76">
        <f ca="1">+'Salaries (% Plan Expenditure)'!F11</f>
        <v>1857.47</v>
      </c>
      <c r="G11" s="76">
        <f ca="1">+'Salaries (% Plan Expenditure)'!G11</f>
        <v>1795.79</v>
      </c>
      <c r="H11" s="76">
        <f ca="1">+'Worksheet Pension &amp; RE'!K11-'Worksheet Pension &amp; RE'!C11-'IP as % of TRR'!C11</f>
        <v>1929.9800000000002</v>
      </c>
      <c r="I11" s="76">
        <f ca="1">+'Worksheet Pension &amp; RE'!L11-'Worksheet Pension &amp; RE'!D11-'IP as % of TRR'!D11</f>
        <v>2298.9900000000002</v>
      </c>
      <c r="J11" s="76">
        <f ca="1">+'Worksheet Pension &amp; RE'!M11-'Worksheet Pension &amp; RE'!E11-'IP as % of TRR'!E11</f>
        <v>2740.53</v>
      </c>
      <c r="K11" s="76">
        <f ca="1">+'Worksheet Pension &amp; RE'!N11-'Worksheet Pension &amp; RE'!F11-'IP as % of TRR'!F11</f>
        <v>3440.5699999999997</v>
      </c>
      <c r="L11" s="76">
        <f ca="1">+'Worksheet Pension &amp; RE'!O11-'Worksheet Pension &amp; RE'!G11-'IP as % of TRR'!G11</f>
        <v>4377.4900000000007</v>
      </c>
      <c r="M11" s="446">
        <f t="shared" si="0"/>
        <v>48.745064715696529</v>
      </c>
      <c r="N11" s="446">
        <f t="shared" si="0"/>
        <v>44.158086812034846</v>
      </c>
      <c r="O11" s="446">
        <f t="shared" si="0"/>
        <v>54.466106920924048</v>
      </c>
      <c r="P11" s="446">
        <f t="shared" si="0"/>
        <v>53.987275364256504</v>
      </c>
      <c r="Q11" s="446">
        <f t="shared" si="0"/>
        <v>41.023280464375695</v>
      </c>
    </row>
    <row r="12" spans="1:17" s="24" customFormat="1" ht="15.75" customHeight="1">
      <c r="A12" s="12">
        <v>7</v>
      </c>
      <c r="B12" s="13" t="s">
        <v>20</v>
      </c>
      <c r="C12" s="76">
        <f ca="1">+'Salaries (% Plan Expenditure)'!C12</f>
        <v>597.84</v>
      </c>
      <c r="D12" s="76">
        <f ca="1">+'Salaries (% Plan Expenditure)'!D12</f>
        <v>693.06</v>
      </c>
      <c r="E12" s="76">
        <f ca="1">+'Salaries (% Plan Expenditure)'!E12</f>
        <v>826.23</v>
      </c>
      <c r="F12" s="76">
        <f ca="1">+'Salaries (% Plan Expenditure)'!F12</f>
        <v>1214.22</v>
      </c>
      <c r="G12" s="76">
        <f ca="1">+'Salaries (% Plan Expenditure)'!G12</f>
        <v>1216.05</v>
      </c>
      <c r="H12" s="76">
        <f ca="1">+'Worksheet Pension &amp; RE'!K12-'Worksheet Pension &amp; RE'!C12-'IP as % of TRR'!C12</f>
        <v>1483.75</v>
      </c>
      <c r="I12" s="76">
        <f ca="1">+'Worksheet Pension &amp; RE'!L12-'Worksheet Pension &amp; RE'!D12-'IP as % of TRR'!D12</f>
        <v>1805.4700000000003</v>
      </c>
      <c r="J12" s="76">
        <f ca="1">+'Worksheet Pension &amp; RE'!M12-'Worksheet Pension &amp; RE'!E12-'IP as % of TRR'!E12</f>
        <v>2148.2199999999998</v>
      </c>
      <c r="K12" s="76">
        <f ca="1">+'Worksheet Pension &amp; RE'!N12-'Worksheet Pension &amp; RE'!F12-'IP as % of TRR'!F12</f>
        <v>3097.8500000000004</v>
      </c>
      <c r="L12" s="76">
        <f ca="1">+'Worksheet Pension &amp; RE'!O12-'Worksheet Pension &amp; RE'!G12-'IP as % of TRR'!G12</f>
        <v>2899.1499999999996</v>
      </c>
      <c r="M12" s="446">
        <f t="shared" si="0"/>
        <v>40.292502106149961</v>
      </c>
      <c r="N12" s="446">
        <f t="shared" si="0"/>
        <v>38.386680476551803</v>
      </c>
      <c r="O12" s="446">
        <f t="shared" si="0"/>
        <v>38.461144575509032</v>
      </c>
      <c r="P12" s="446">
        <f t="shared" si="0"/>
        <v>39.195571121907122</v>
      </c>
      <c r="Q12" s="446">
        <f t="shared" si="0"/>
        <v>41.945052860321127</v>
      </c>
    </row>
    <row r="13" spans="1:17" s="24" customFormat="1" ht="15.75" customHeight="1">
      <c r="A13" s="12">
        <v>8</v>
      </c>
      <c r="B13" s="13" t="s">
        <v>21</v>
      </c>
      <c r="C13" s="76">
        <f ca="1">+'Salaries (% Plan Expenditure)'!C13</f>
        <v>1123.47</v>
      </c>
      <c r="D13" s="76">
        <f ca="1">+'Salaries (% Plan Expenditure)'!D13</f>
        <v>1254.32</v>
      </c>
      <c r="E13" s="76">
        <f ca="1">+'Salaries (% Plan Expenditure)'!E13</f>
        <v>1493.87</v>
      </c>
      <c r="F13" s="76">
        <f ca="1">+'Salaries (% Plan Expenditure)'!F13</f>
        <v>2036.36</v>
      </c>
      <c r="G13" s="76">
        <f ca="1">+'Salaries (% Plan Expenditure)'!G13</f>
        <v>2339.19</v>
      </c>
      <c r="H13" s="76">
        <f ca="1">+'Worksheet Pension &amp; RE'!K13-'Worksheet Pension &amp; RE'!C13-'IP as % of TRR'!C13</f>
        <v>2042.08</v>
      </c>
      <c r="I13" s="76">
        <f ca="1">+'Worksheet Pension &amp; RE'!L13-'Worksheet Pension &amp; RE'!D13-'IP as % of TRR'!D13</f>
        <v>2346.59</v>
      </c>
      <c r="J13" s="76">
        <f ca="1">+'Worksheet Pension &amp; RE'!M13-'Worksheet Pension &amp; RE'!E13-'IP as % of TRR'!E13</f>
        <v>2610.87</v>
      </c>
      <c r="K13" s="76">
        <f ca="1">+'Worksheet Pension &amp; RE'!N13-'Worksheet Pension &amp; RE'!F13-'IP as % of TRR'!F13</f>
        <v>3625.8299999999995</v>
      </c>
      <c r="L13" s="76">
        <f ca="1">+'Worksheet Pension &amp; RE'!O13-'Worksheet Pension &amp; RE'!G13-'IP as % of TRR'!G13</f>
        <v>3584.6000000000004</v>
      </c>
      <c r="M13" s="446">
        <f t="shared" si="0"/>
        <v>55.015964115019976</v>
      </c>
      <c r="N13" s="446">
        <f t="shared" si="0"/>
        <v>53.452882693610725</v>
      </c>
      <c r="O13" s="446">
        <f t="shared" si="0"/>
        <v>57.217326025424477</v>
      </c>
      <c r="P13" s="446">
        <f t="shared" si="0"/>
        <v>56.16258897962674</v>
      </c>
      <c r="Q13" s="446">
        <f t="shared" si="0"/>
        <v>65.25665346203202</v>
      </c>
    </row>
    <row r="14" spans="1:17" ht="15.75" customHeight="1">
      <c r="A14" s="3">
        <v>9</v>
      </c>
      <c r="B14" s="6" t="s">
        <v>22</v>
      </c>
      <c r="C14" s="76">
        <f ca="1">+'Salaries (% Plan Expenditure)'!C14</f>
        <v>492.91</v>
      </c>
      <c r="D14" s="76">
        <f ca="1">+'Salaries (% Plan Expenditure)'!D14</f>
        <v>576.44000000000005</v>
      </c>
      <c r="E14" s="76">
        <f ca="1">+'Salaries (% Plan Expenditure)'!E14</f>
        <v>968.76</v>
      </c>
      <c r="F14" s="76">
        <f ca="1">+'Salaries (% Plan Expenditure)'!F14</f>
        <v>1095.79</v>
      </c>
      <c r="G14" s="76">
        <f ca="1">+'Salaries (% Plan Expenditure)'!G14</f>
        <v>1032.75</v>
      </c>
      <c r="H14" s="76">
        <f ca="1">+'Worksheet Pension &amp; RE'!K14-'Worksheet Pension &amp; RE'!C14-'IP as % of TRR'!C14</f>
        <v>978.93999999999983</v>
      </c>
      <c r="I14" s="76">
        <f ca="1">+'Worksheet Pension &amp; RE'!L14-'Worksheet Pension &amp; RE'!D14-'IP as % of TRR'!D14</f>
        <v>1178.46</v>
      </c>
      <c r="J14" s="76">
        <f ca="1">+'Worksheet Pension &amp; RE'!M14-'Worksheet Pension &amp; RE'!E14-'IP as % of TRR'!E14</f>
        <v>1548.84</v>
      </c>
      <c r="K14" s="76">
        <f ca="1">+'Worksheet Pension &amp; RE'!N14-'Worksheet Pension &amp; RE'!F14-'IP as % of TRR'!F14</f>
        <v>1665</v>
      </c>
      <c r="L14" s="76">
        <f ca="1">+'Worksheet Pension &amp; RE'!O14-'Worksheet Pension &amp; RE'!G14-'IP as % of TRR'!G14</f>
        <v>1951.0300000000002</v>
      </c>
      <c r="M14" s="446">
        <f t="shared" si="0"/>
        <v>50.351400494412331</v>
      </c>
      <c r="N14" s="446">
        <f t="shared" si="0"/>
        <v>48.914685267213152</v>
      </c>
      <c r="O14" s="446">
        <f t="shared" si="0"/>
        <v>62.547454869450689</v>
      </c>
      <c r="P14" s="446">
        <f t="shared" si="0"/>
        <v>65.813213213213203</v>
      </c>
      <c r="Q14" s="446">
        <f t="shared" si="0"/>
        <v>52.933578673828684</v>
      </c>
    </row>
    <row r="15" spans="1:17" ht="15.75" customHeight="1">
      <c r="A15" s="3">
        <v>10</v>
      </c>
      <c r="B15" s="6" t="s">
        <v>23</v>
      </c>
      <c r="C15" s="76">
        <f ca="1">+'Salaries (% Plan Expenditure)'!C15</f>
        <v>1308.3800000000001</v>
      </c>
      <c r="D15" s="76">
        <f ca="1">+'Salaries (% Plan Expenditure)'!D15</f>
        <v>1411.17</v>
      </c>
      <c r="E15" s="76">
        <f ca="1">+'Salaries (% Plan Expenditure)'!E15</f>
        <v>1972.55</v>
      </c>
      <c r="F15" s="76">
        <f ca="1">+'Salaries (% Plan Expenditure)'!F15</f>
        <v>2196.15</v>
      </c>
      <c r="G15" s="76">
        <f ca="1">+'Salaries (% Plan Expenditure)'!G15</f>
        <v>2415.11</v>
      </c>
      <c r="H15" s="76">
        <f ca="1">+'Worksheet Pension &amp; RE'!K15-'Worksheet Pension &amp; RE'!C15-'IP as % of TRR'!C15</f>
        <v>2082.5699999999997</v>
      </c>
      <c r="I15" s="76">
        <f ca="1">+'Worksheet Pension &amp; RE'!L15-'Worksheet Pension &amp; RE'!D15-'IP as % of TRR'!D15</f>
        <v>2408</v>
      </c>
      <c r="J15" s="76">
        <f ca="1">+'Worksheet Pension &amp; RE'!M15-'Worksheet Pension &amp; RE'!E15-'IP as % of TRR'!E15</f>
        <v>3245.38</v>
      </c>
      <c r="K15" s="76">
        <f ca="1">+'Worksheet Pension &amp; RE'!N15-'Worksheet Pension &amp; RE'!F15-'IP as % of TRR'!F15</f>
        <v>3257.38</v>
      </c>
      <c r="L15" s="76">
        <f ca="1">+'Worksheet Pension &amp; RE'!O15-'Worksheet Pension &amp; RE'!G15-'IP as % of TRR'!G15</f>
        <v>3617.2500000000005</v>
      </c>
      <c r="M15" s="446">
        <f t="shared" si="0"/>
        <v>62.825259174961722</v>
      </c>
      <c r="N15" s="446">
        <f t="shared" si="0"/>
        <v>58.603405315614623</v>
      </c>
      <c r="O15" s="446">
        <f t="shared" si="0"/>
        <v>60.780247613530612</v>
      </c>
      <c r="P15" s="446">
        <f t="shared" si="0"/>
        <v>67.420749191067671</v>
      </c>
      <c r="Q15" s="446">
        <f t="shared" si="0"/>
        <v>66.766466238164341</v>
      </c>
    </row>
    <row r="16" spans="1:17" ht="15.75" customHeight="1">
      <c r="A16" s="3">
        <v>11</v>
      </c>
      <c r="B16" s="6" t="s">
        <v>24</v>
      </c>
      <c r="C16" s="76">
        <f ca="1">+'Salaries (% Plan Expenditure)'!C16</f>
        <v>2302.2800000000002</v>
      </c>
      <c r="D16" s="76">
        <f ca="1">+'Salaries (% Plan Expenditure)'!D16</f>
        <v>3349.91</v>
      </c>
      <c r="E16" s="76">
        <f ca="1">+'Salaries (% Plan Expenditure)'!E16</f>
        <v>4811.21</v>
      </c>
      <c r="F16" s="76">
        <f ca="1">+'Salaries (% Plan Expenditure)'!F16</f>
        <v>4511.12</v>
      </c>
      <c r="G16" s="76">
        <f ca="1">+'Salaries (% Plan Expenditure)'!G16</f>
        <v>5670.25</v>
      </c>
      <c r="H16" s="76">
        <f ca="1">+'Worksheet Pension &amp; RE'!K16-'Worksheet Pension &amp; RE'!C16-'IP as % of TRR'!C16</f>
        <v>5535.76</v>
      </c>
      <c r="I16" s="76">
        <f ca="1">+'Worksheet Pension &amp; RE'!L16-'Worksheet Pension &amp; RE'!D16-'IP as % of TRR'!D16</f>
        <v>6379.6100000000006</v>
      </c>
      <c r="J16" s="76">
        <f ca="1">+'Worksheet Pension &amp; RE'!M16-'Worksheet Pension &amp; RE'!E16-'IP as % of TRR'!E16</f>
        <v>8014.86</v>
      </c>
      <c r="K16" s="76">
        <f ca="1">+'Worksheet Pension &amp; RE'!N16-'Worksheet Pension &amp; RE'!F16-'IP as % of TRR'!F16</f>
        <v>9684.74</v>
      </c>
      <c r="L16" s="76">
        <f ca="1">+'Worksheet Pension &amp; RE'!O16-'Worksheet Pension &amp; RE'!G16-'IP as % of TRR'!G16</f>
        <v>11098.71</v>
      </c>
      <c r="M16" s="446">
        <f t="shared" si="0"/>
        <v>41.5892307469977</v>
      </c>
      <c r="N16" s="446">
        <f t="shared" si="0"/>
        <v>52.509636168982112</v>
      </c>
      <c r="O16" s="446">
        <f t="shared" si="0"/>
        <v>60.028621834941596</v>
      </c>
      <c r="P16" s="446">
        <f t="shared" si="0"/>
        <v>46.579670698438989</v>
      </c>
      <c r="Q16" s="446">
        <f t="shared" si="0"/>
        <v>51.089270735067416</v>
      </c>
    </row>
    <row r="17" spans="1:17" s="79" customFormat="1" ht="15.75" customHeight="1">
      <c r="A17" s="4"/>
      <c r="B17" s="4" t="s">
        <v>81</v>
      </c>
      <c r="C17" s="77">
        <f t="shared" ref="C17:L17" si="1">SUM(C6:C16)</f>
        <v>21428.47</v>
      </c>
      <c r="D17" s="77">
        <f t="shared" si="1"/>
        <v>24014.039999999997</v>
      </c>
      <c r="E17" s="77">
        <f t="shared" si="1"/>
        <v>30760.429999999997</v>
      </c>
      <c r="F17" s="77">
        <f t="shared" si="1"/>
        <v>37389.19000000001</v>
      </c>
      <c r="G17" s="77">
        <f t="shared" si="1"/>
        <v>43164.770000000004</v>
      </c>
      <c r="H17" s="77">
        <f t="shared" si="1"/>
        <v>41935.620000000003</v>
      </c>
      <c r="I17" s="77">
        <f t="shared" si="1"/>
        <v>47863.750000000007</v>
      </c>
      <c r="J17" s="77">
        <f t="shared" si="1"/>
        <v>59693.189999999995</v>
      </c>
      <c r="K17" s="77">
        <f t="shared" si="1"/>
        <v>76225.12000000001</v>
      </c>
      <c r="L17" s="77">
        <f t="shared" si="1"/>
        <v>84971.670000000013</v>
      </c>
      <c r="M17" s="447">
        <f t="shared" si="0"/>
        <v>51.098493357198485</v>
      </c>
      <c r="N17" s="447">
        <f t="shared" si="0"/>
        <v>50.171664359771221</v>
      </c>
      <c r="O17" s="447">
        <f>E17/J17*100</f>
        <v>51.530886521561335</v>
      </c>
      <c r="P17" s="447">
        <f>F17/K17*100</f>
        <v>49.051008381488941</v>
      </c>
      <c r="Q17" s="447">
        <f>G17/L17*100</f>
        <v>50.7990133652781</v>
      </c>
    </row>
    <row r="18" spans="1:17" s="79" customFormat="1" ht="15.75" customHeight="1">
      <c r="A18" s="4"/>
      <c r="B18" s="4" t="s">
        <v>26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446"/>
      <c r="N18" s="446"/>
      <c r="O18" s="438"/>
      <c r="P18" s="438"/>
      <c r="Q18" s="438"/>
    </row>
    <row r="19" spans="1:17" ht="15.75" customHeight="1">
      <c r="A19" s="3">
        <v>12</v>
      </c>
      <c r="B19" s="6" t="s">
        <v>27</v>
      </c>
      <c r="C19" s="76">
        <f ca="1">+'Salaries (% Plan Expenditure)'!C19</f>
        <v>12171.08</v>
      </c>
      <c r="D19" s="76">
        <f ca="1">+'Salaries (% Plan Expenditure)'!D19</f>
        <v>12882.86</v>
      </c>
      <c r="E19" s="76">
        <f ca="1">+'Salaries (% Plan Expenditure)'!E19</f>
        <v>15706.57</v>
      </c>
      <c r="F19" s="76">
        <f ca="1">+'Salaries (% Plan Expenditure)'!F19</f>
        <v>21128.13</v>
      </c>
      <c r="G19" s="76">
        <f ca="1">+'Salaries (% Plan Expenditure)'!G19</f>
        <v>27131.07</v>
      </c>
      <c r="H19" s="76">
        <f ca="1">+'Worksheet Pension &amp; RE'!K19-'Worksheet Pension &amp; RE'!C19-'IP as % of TRR'!C19</f>
        <v>41602.71</v>
      </c>
      <c r="I19" s="76">
        <f ca="1">+'Worksheet Pension &amp; RE'!L19-'Worksheet Pension &amp; RE'!D19-'IP as % of TRR'!D19</f>
        <v>48278.64</v>
      </c>
      <c r="J19" s="76">
        <f ca="1">+'Worksheet Pension &amp; RE'!M19-'Worksheet Pension &amp; RE'!E19-'IP as % of TRR'!E19</f>
        <v>48195.320000000007</v>
      </c>
      <c r="K19" s="76">
        <f ca="1">+'Worksheet Pension &amp; RE'!N19-'Worksheet Pension &amp; RE'!F19-'IP as % of TRR'!F19</f>
        <v>59249.89</v>
      </c>
      <c r="L19" s="76">
        <f ca="1">+'Worksheet Pension &amp; RE'!O19-'Worksheet Pension &amp; RE'!G19-'IP as % of TRR'!G19</f>
        <v>76039.63</v>
      </c>
      <c r="M19" s="446">
        <f>C19/H19*100</f>
        <v>29.25549801923961</v>
      </c>
      <c r="N19" s="446">
        <f>D19/I19*100</f>
        <v>26.684388789742215</v>
      </c>
      <c r="O19" s="446">
        <f>E19/J19*100</f>
        <v>32.589409096152899</v>
      </c>
      <c r="P19" s="446">
        <f>F19/K19*100</f>
        <v>35.659357342266794</v>
      </c>
      <c r="Q19" s="446">
        <f>G19/L19*100</f>
        <v>35.680170984524779</v>
      </c>
    </row>
    <row r="20" spans="1:17" ht="15.75" customHeight="1">
      <c r="A20" s="3">
        <v>13</v>
      </c>
      <c r="B20" s="6" t="s">
        <v>28</v>
      </c>
      <c r="C20" s="76">
        <f ca="1">+'Salaries (% Plan Expenditure)'!C20</f>
        <v>6484.76</v>
      </c>
      <c r="D20" s="76">
        <f ca="1">+'Salaries (% Plan Expenditure)'!D20</f>
        <v>7658.49</v>
      </c>
      <c r="E20" s="76">
        <f ca="1">+'Salaries (% Plan Expenditure)'!E20</f>
        <v>9572.69</v>
      </c>
      <c r="F20" s="76">
        <f ca="1">+'Salaries (% Plan Expenditure)'!F20</f>
        <v>10549.85</v>
      </c>
      <c r="G20" s="76">
        <f ca="1">+'Salaries (% Plan Expenditure)'!G20</f>
        <v>13210.7</v>
      </c>
      <c r="H20" s="76">
        <f ca="1">+'Worksheet Pension &amp; RE'!K20-'Worksheet Pension &amp; RE'!C20-'IP as % of TRR'!C20</f>
        <v>17066.940000000002</v>
      </c>
      <c r="I20" s="76">
        <f ca="1">+'Worksheet Pension &amp; RE'!L20-'Worksheet Pension &amp; RE'!D20-'IP as % of TRR'!D20</f>
        <v>21279.600000000002</v>
      </c>
      <c r="J20" s="76">
        <f ca="1">+'Worksheet Pension &amp; RE'!M20-'Worksheet Pension &amp; RE'!E20-'IP as % of TRR'!E20</f>
        <v>24580</v>
      </c>
      <c r="K20" s="76">
        <f ca="1">+'Worksheet Pension &amp; RE'!N20-'Worksheet Pension &amp; RE'!F20-'IP as % of TRR'!F20</f>
        <v>27752.890000000003</v>
      </c>
      <c r="L20" s="76">
        <f ca="1">+'Worksheet Pension &amp; RE'!O20-'Worksheet Pension &amp; RE'!G20-'IP as % of TRR'!G20</f>
        <v>37610.789999999994</v>
      </c>
      <c r="M20" s="446">
        <f t="shared" ref="M20:Q36" si="2">C20/H20*100</f>
        <v>37.99603209479848</v>
      </c>
      <c r="N20" s="446">
        <f t="shared" si="2"/>
        <v>35.989821237241301</v>
      </c>
      <c r="O20" s="446">
        <f t="shared" si="2"/>
        <v>38.945036615134256</v>
      </c>
      <c r="P20" s="446">
        <f t="shared" si="2"/>
        <v>38.013518592117791</v>
      </c>
      <c r="Q20" s="446">
        <f t="shared" si="2"/>
        <v>35.12476074020249</v>
      </c>
    </row>
    <row r="21" spans="1:17" ht="15.75" customHeight="1">
      <c r="A21" s="3">
        <v>14</v>
      </c>
      <c r="B21" s="6" t="s">
        <v>29</v>
      </c>
      <c r="C21" s="76">
        <f ca="1">+'Salaries (% Plan Expenditure)'!C21</f>
        <v>2290.5</v>
      </c>
      <c r="D21" s="76">
        <f ca="1">+'Salaries (% Plan Expenditure)'!D21</f>
        <v>2814.95</v>
      </c>
      <c r="E21" s="76">
        <f ca="1">+'Salaries (% Plan Expenditure)'!E21</f>
        <v>3464.43</v>
      </c>
      <c r="F21" s="76">
        <f ca="1">+'Salaries (% Plan Expenditure)'!F21</f>
        <v>6213.52</v>
      </c>
      <c r="G21" s="76">
        <f ca="1">+'Salaries (% Plan Expenditure)'!G21</f>
        <v>5729.99</v>
      </c>
      <c r="H21" s="76">
        <f ca="1">+'Worksheet Pension &amp; RE'!K21-'Worksheet Pension &amp; RE'!C21-'IP as % of TRR'!C21</f>
        <v>9015.17</v>
      </c>
      <c r="I21" s="76">
        <f ca="1">+'Worksheet Pension &amp; RE'!L21-'Worksheet Pension &amp; RE'!D21-'IP as % of TRR'!D21</f>
        <v>11785.41</v>
      </c>
      <c r="J21" s="76">
        <f ca="1">+'Worksheet Pension &amp; RE'!M21-'Worksheet Pension &amp; RE'!E21-'IP as % of TRR'!E21</f>
        <v>14936.819999999998</v>
      </c>
      <c r="K21" s="76">
        <f ca="1">+'Worksheet Pension &amp; RE'!N21-'Worksheet Pension &amp; RE'!F21-'IP as % of TRR'!F21</f>
        <v>16347.060000000001</v>
      </c>
      <c r="L21" s="76">
        <f ca="1">+'Worksheet Pension &amp; RE'!O21-'Worksheet Pension &amp; RE'!G21-'IP as % of TRR'!G21</f>
        <v>21536.53</v>
      </c>
      <c r="M21" s="446">
        <f t="shared" si="2"/>
        <v>25.40717479537269</v>
      </c>
      <c r="N21" s="446">
        <f t="shared" si="2"/>
        <v>23.885040910753212</v>
      </c>
      <c r="O21" s="446">
        <f t="shared" si="2"/>
        <v>23.193892675951108</v>
      </c>
      <c r="P21" s="446">
        <f t="shared" si="2"/>
        <v>38.010015256566007</v>
      </c>
      <c r="Q21" s="446">
        <f t="shared" si="2"/>
        <v>26.60591098008825</v>
      </c>
    </row>
    <row r="22" spans="1:17" ht="15.75" customHeight="1">
      <c r="A22" s="3">
        <v>15</v>
      </c>
      <c r="B22" s="6" t="s">
        <v>30</v>
      </c>
      <c r="C22" s="76">
        <f ca="1">+'Salaries (% Plan Expenditure)'!C22</f>
        <v>465.56</v>
      </c>
      <c r="D22" s="76">
        <f ca="1">+'Salaries (% Plan Expenditure)'!D22</f>
        <v>668.28</v>
      </c>
      <c r="E22" s="76">
        <f ca="1">+'Salaries (% Plan Expenditure)'!E22</f>
        <v>900.47</v>
      </c>
      <c r="F22" s="76">
        <f ca="1">+'Salaries (% Plan Expenditure)'!F22</f>
        <v>1000</v>
      </c>
      <c r="G22" s="76">
        <f ca="1">+'Salaries (% Plan Expenditure)'!G22</f>
        <v>1141.33</v>
      </c>
      <c r="H22" s="76">
        <f ca="1">+'Worksheet Pension &amp; RE'!K22-'Worksheet Pension &amp; RE'!C22-'IP as % of TRR'!C22</f>
        <v>1546.31</v>
      </c>
      <c r="I22" s="76">
        <f ca="1">+'Worksheet Pension &amp; RE'!L22-'Worksheet Pension &amp; RE'!D22-'IP as % of TRR'!D22</f>
        <v>1981.27</v>
      </c>
      <c r="J22" s="76">
        <f ca="1">+'Worksheet Pension &amp; RE'!M22-'Worksheet Pension &amp; RE'!E22-'IP as % of TRR'!E22</f>
        <v>2498.33</v>
      </c>
      <c r="K22" s="76">
        <f ca="1">+'Worksheet Pension &amp; RE'!N22-'Worksheet Pension &amp; RE'!F22-'IP as % of TRR'!F22</f>
        <v>3215.9100000000003</v>
      </c>
      <c r="L22" s="76">
        <f ca="1">+'Worksheet Pension &amp; RE'!O22-'Worksheet Pension &amp; RE'!G22-'IP as % of TRR'!G22</f>
        <v>4061.0900000000006</v>
      </c>
      <c r="M22" s="446">
        <f t="shared" si="2"/>
        <v>30.107805032626061</v>
      </c>
      <c r="N22" s="446">
        <f t="shared" si="2"/>
        <v>33.729880329283738</v>
      </c>
      <c r="O22" s="446">
        <f t="shared" si="2"/>
        <v>36.042876641596585</v>
      </c>
      <c r="P22" s="446">
        <f t="shared" si="2"/>
        <v>31.09539757020563</v>
      </c>
      <c r="Q22" s="446">
        <f t="shared" si="2"/>
        <v>28.10403118374623</v>
      </c>
    </row>
    <row r="23" spans="1:17" ht="15.75" customHeight="1">
      <c r="A23" s="3">
        <v>16</v>
      </c>
      <c r="B23" s="6" t="s">
        <v>31</v>
      </c>
      <c r="C23" s="76">
        <f ca="1">+'Salaries (% Plan Expenditure)'!C23</f>
        <v>7353.21</v>
      </c>
      <c r="D23" s="76">
        <f ca="1">+'Salaries (% Plan Expenditure)'!D23</f>
        <v>7353.21</v>
      </c>
      <c r="E23" s="76">
        <f ca="1">+'Salaries (% Plan Expenditure)'!E23</f>
        <v>7353.21</v>
      </c>
      <c r="F23" s="76">
        <f ca="1">+'Salaries (% Plan Expenditure)'!F23</f>
        <v>15205.33</v>
      </c>
      <c r="G23" s="76">
        <f ca="1">+'Salaries (% Plan Expenditure)'!G23</f>
        <v>16791.54</v>
      </c>
      <c r="H23" s="76">
        <f ca="1">+'Worksheet Pension &amp; RE'!K23-'Worksheet Pension &amp; RE'!C23-'IP as % of TRR'!C23</f>
        <v>22040.969999999998</v>
      </c>
      <c r="I23" s="76">
        <f ca="1">+'Worksheet Pension &amp; RE'!L23-'Worksheet Pension &amp; RE'!D23-'IP as % of TRR'!D23</f>
        <v>26610.98</v>
      </c>
      <c r="J23" s="76">
        <f ca="1">+'Worksheet Pension &amp; RE'!M23-'Worksheet Pension &amp; RE'!E23-'IP as % of TRR'!E23</f>
        <v>34173.039999999994</v>
      </c>
      <c r="K23" s="76">
        <f ca="1">+'Worksheet Pension &amp; RE'!N23-'Worksheet Pension &amp; RE'!F23-'IP as % of TRR'!F23</f>
        <v>39379.4</v>
      </c>
      <c r="L23" s="76">
        <f ca="1">+'Worksheet Pension &amp; RE'!O23-'Worksheet Pension &amp; RE'!G23-'IP as % of TRR'!G23</f>
        <v>42734.36</v>
      </c>
      <c r="M23" s="446">
        <f t="shared" si="2"/>
        <v>33.361553506946386</v>
      </c>
      <c r="N23" s="446">
        <f t="shared" si="2"/>
        <v>27.632240526279002</v>
      </c>
      <c r="O23" s="446">
        <f t="shared" si="2"/>
        <v>21.51757642867009</v>
      </c>
      <c r="P23" s="446">
        <f t="shared" si="2"/>
        <v>38.612396329045133</v>
      </c>
      <c r="Q23" s="446">
        <f t="shared" si="2"/>
        <v>39.29283134227353</v>
      </c>
    </row>
    <row r="24" spans="1:17" ht="15.75" customHeight="1">
      <c r="A24" s="3">
        <v>17</v>
      </c>
      <c r="B24" s="6" t="s">
        <v>32</v>
      </c>
      <c r="C24" s="76">
        <f ca="1">+'Salaries (% Plan Expenditure)'!C24</f>
        <v>4216</v>
      </c>
      <c r="D24" s="76">
        <f ca="1">+'Salaries (% Plan Expenditure)'!D24</f>
        <v>6259</v>
      </c>
      <c r="E24" s="76">
        <f ca="1">+'Salaries (% Plan Expenditure)'!E24</f>
        <v>8429</v>
      </c>
      <c r="F24" s="76">
        <f ca="1">+'Salaries (% Plan Expenditure)'!F24</f>
        <v>9523</v>
      </c>
      <c r="G24" s="76">
        <f ca="1">+'Salaries (% Plan Expenditure)'!G24</f>
        <v>10280</v>
      </c>
      <c r="H24" s="76">
        <f ca="1">+'Worksheet Pension &amp; RE'!K24-'Worksheet Pension &amp; RE'!C24-'IP as % of TRR'!C24</f>
        <v>13883</v>
      </c>
      <c r="I24" s="76">
        <f ca="1">+'Worksheet Pension &amp; RE'!L24-'Worksheet Pension &amp; RE'!D24-'IP as % of TRR'!D24</f>
        <v>16582</v>
      </c>
      <c r="J24" s="76">
        <f ca="1">+'Worksheet Pension &amp; RE'!M24-'Worksheet Pension &amp; RE'!E24-'IP as % of TRR'!E24</f>
        <v>20131</v>
      </c>
      <c r="K24" s="76">
        <f ca="1">+'Worksheet Pension &amp; RE'!N24-'Worksheet Pension &amp; RE'!F24-'IP as % of TRR'!F24</f>
        <v>21897</v>
      </c>
      <c r="L24" s="76">
        <f ca="1">+'Worksheet Pension &amp; RE'!O24-'Worksheet Pension &amp; RE'!G24-'IP as % of TRR'!G24</f>
        <v>27049</v>
      </c>
      <c r="M24" s="446">
        <f t="shared" si="2"/>
        <v>30.368076064251241</v>
      </c>
      <c r="N24" s="446">
        <f t="shared" si="2"/>
        <v>37.745748401881556</v>
      </c>
      <c r="O24" s="446">
        <f t="shared" si="2"/>
        <v>41.870746609706423</v>
      </c>
      <c r="P24" s="446">
        <f t="shared" si="2"/>
        <v>43.489975795771109</v>
      </c>
      <c r="Q24" s="446">
        <f t="shared" si="2"/>
        <v>38.005101852194166</v>
      </c>
    </row>
    <row r="25" spans="1:17" ht="15.75" customHeight="1">
      <c r="A25" s="3">
        <v>18</v>
      </c>
      <c r="B25" s="6" t="s">
        <v>33</v>
      </c>
      <c r="C25" s="76">
        <f ca="1">+'Salaries (% Plan Expenditure)'!C25</f>
        <v>3166.73</v>
      </c>
      <c r="D25" s="76">
        <f ca="1">+'Salaries (% Plan Expenditure)'!D25</f>
        <v>3947.74</v>
      </c>
      <c r="E25" s="76">
        <f ca="1">+'Salaries (% Plan Expenditure)'!E25</f>
        <v>5394.07</v>
      </c>
      <c r="F25" s="76">
        <f ca="1">+'Salaries (% Plan Expenditure)'!F25</f>
        <v>5811.72</v>
      </c>
      <c r="G25" s="76">
        <f ca="1">+'Salaries (% Plan Expenditure)'!G25</f>
        <v>6380.33</v>
      </c>
      <c r="H25" s="76">
        <f ca="1">+'Worksheet Pension &amp; RE'!K25-'Worksheet Pension &amp; RE'!C25-'IP as % of TRR'!C25</f>
        <v>8255.619999999999</v>
      </c>
      <c r="I25" s="76">
        <f ca="1">+'Worksheet Pension &amp; RE'!L25-'Worksheet Pension &amp; RE'!D25-'IP as % of TRR'!D25</f>
        <v>10001.619999999999</v>
      </c>
      <c r="J25" s="76">
        <f ca="1">+'Worksheet Pension &amp; RE'!M25-'Worksheet Pension &amp; RE'!E25-'IP as % of TRR'!E25</f>
        <v>11139.96</v>
      </c>
      <c r="K25" s="76">
        <f ca="1">+'Worksheet Pension &amp; RE'!N25-'Worksheet Pension &amp; RE'!F25-'IP as % of TRR'!F25</f>
        <v>13636.09</v>
      </c>
      <c r="L25" s="76">
        <f ca="1">+'Worksheet Pension &amp; RE'!O25-'Worksheet Pension &amp; RE'!G25-'IP as % of TRR'!G25</f>
        <v>17629.620000000003</v>
      </c>
      <c r="M25" s="446">
        <f t="shared" si="2"/>
        <v>38.35847580193856</v>
      </c>
      <c r="N25" s="446">
        <f t="shared" si="2"/>
        <v>39.471005697077075</v>
      </c>
      <c r="O25" s="446">
        <f t="shared" si="2"/>
        <v>48.42090994940736</v>
      </c>
      <c r="P25" s="446">
        <f t="shared" si="2"/>
        <v>42.620135244047233</v>
      </c>
      <c r="Q25" s="446">
        <f t="shared" si="2"/>
        <v>36.190967247166981</v>
      </c>
    </row>
    <row r="26" spans="1:17" ht="15.75" customHeight="1">
      <c r="A26" s="3">
        <v>19</v>
      </c>
      <c r="B26" s="6" t="s">
        <v>34</v>
      </c>
      <c r="C26" s="76">
        <f ca="1">+'Salaries (% Plan Expenditure)'!C26</f>
        <v>8410</v>
      </c>
      <c r="D26" s="76">
        <f ca="1">+'Salaries (% Plan Expenditure)'!D26</f>
        <v>9927.2800000000007</v>
      </c>
      <c r="E26" s="76">
        <f ca="1">+'Salaries (% Plan Expenditure)'!E26</f>
        <v>10296</v>
      </c>
      <c r="F26" s="76">
        <f ca="1">+'Salaries (% Plan Expenditure)'!F26</f>
        <v>12139</v>
      </c>
      <c r="G26" s="76">
        <f ca="1">+'Salaries (% Plan Expenditure)'!G26</f>
        <v>14942</v>
      </c>
      <c r="H26" s="76">
        <f ca="1">+'Worksheet Pension &amp; RE'!K26-'Worksheet Pension &amp; RE'!C26-'IP as % of TRR'!C26</f>
        <v>29628.42</v>
      </c>
      <c r="I26" s="76">
        <f ca="1">+'Worksheet Pension &amp; RE'!L26-'Worksheet Pension &amp; RE'!D26-'IP as % of TRR'!D26</f>
        <v>33014.340000000004</v>
      </c>
      <c r="J26" s="76">
        <f ca="1">+'Worksheet Pension &amp; RE'!M26-'Worksheet Pension &amp; RE'!E26-'IP as % of TRR'!E26</f>
        <v>38916.089999999997</v>
      </c>
      <c r="K26" s="76">
        <f ca="1">+'Worksheet Pension &amp; RE'!N26-'Worksheet Pension &amp; RE'!F26-'IP as % of TRR'!F26</f>
        <v>44323</v>
      </c>
      <c r="L26" s="76">
        <f ca="1">+'Worksheet Pension &amp; RE'!O26-'Worksheet Pension &amp; RE'!G26-'IP as % of TRR'!G26</f>
        <v>52584</v>
      </c>
      <c r="M26" s="446">
        <f t="shared" si="2"/>
        <v>28.384908813902332</v>
      </c>
      <c r="N26" s="446">
        <f t="shared" si="2"/>
        <v>30.069600058641182</v>
      </c>
      <c r="O26" s="446">
        <f t="shared" si="2"/>
        <v>26.456923087596934</v>
      </c>
      <c r="P26" s="446">
        <f t="shared" si="2"/>
        <v>27.387586580330751</v>
      </c>
      <c r="Q26" s="446">
        <f t="shared" si="2"/>
        <v>28.415487600791117</v>
      </c>
    </row>
    <row r="27" spans="1:17" ht="15.75" customHeight="1">
      <c r="A27" s="3">
        <v>20</v>
      </c>
      <c r="B27" s="6" t="s">
        <v>35</v>
      </c>
      <c r="C27" s="76">
        <f ca="1">+'Salaries (% Plan Expenditure)'!C27</f>
        <v>7367.12</v>
      </c>
      <c r="D27" s="76">
        <f ca="1">+'Salaries (% Plan Expenditure)'!D27</f>
        <v>8800.9500000000007</v>
      </c>
      <c r="E27" s="76">
        <f ca="1">+'Salaries (% Plan Expenditure)'!E27</f>
        <v>9799.3799999999992</v>
      </c>
      <c r="F27" s="76">
        <f ca="1">+'Salaries (% Plan Expenditure)'!F27</f>
        <v>10698.32</v>
      </c>
      <c r="G27" s="76">
        <f ca="1">+'Salaries (% Plan Expenditure)'!G27</f>
        <v>16325.89</v>
      </c>
      <c r="H27" s="76">
        <f ca="1">+'Worksheet Pension &amp; RE'!K27-'Worksheet Pension &amp; RE'!C27-'IP as % of TRR'!C27</f>
        <v>15637.450000000003</v>
      </c>
      <c r="I27" s="76">
        <f ca="1">+'Worksheet Pension &amp; RE'!L27-'Worksheet Pension &amp; RE'!D27-'IP as % of TRR'!D27</f>
        <v>18877.740000000002</v>
      </c>
      <c r="J27" s="76">
        <f ca="1">+'Worksheet Pension &amp; RE'!M27-'Worksheet Pension &amp; RE'!E27-'IP as % of TRR'!E27</f>
        <v>21134.400000000001</v>
      </c>
      <c r="K27" s="76">
        <f ca="1">+'Worksheet Pension &amp; RE'!N27-'Worksheet Pension &amp; RE'!F27-'IP as % of TRR'!F27</f>
        <v>23207.66</v>
      </c>
      <c r="L27" s="76">
        <f ca="1">+'Worksheet Pension &amp; RE'!O27-'Worksheet Pension &amp; RE'!G27-'IP as % of TRR'!G27</f>
        <v>31394.94</v>
      </c>
      <c r="M27" s="446">
        <f t="shared" si="2"/>
        <v>47.112029135185075</v>
      </c>
      <c r="N27" s="446">
        <f t="shared" si="2"/>
        <v>46.620781936820826</v>
      </c>
      <c r="O27" s="446">
        <f t="shared" si="2"/>
        <v>46.36696570520099</v>
      </c>
      <c r="P27" s="446">
        <f t="shared" si="2"/>
        <v>46.098227912680557</v>
      </c>
      <c r="Q27" s="446">
        <f t="shared" si="2"/>
        <v>52.001660140137233</v>
      </c>
    </row>
    <row r="28" spans="1:17" ht="15.75" customHeight="1">
      <c r="A28" s="3">
        <v>21</v>
      </c>
      <c r="B28" s="6" t="s">
        <v>36</v>
      </c>
      <c r="C28" s="76">
        <f ca="1">+'Salaries (% Plan Expenditure)'!C28</f>
        <v>6533.63</v>
      </c>
      <c r="D28" s="76">
        <f ca="1">+'Salaries (% Plan Expenditure)'!D28</f>
        <v>8076.89</v>
      </c>
      <c r="E28" s="76">
        <f ca="1">+'Salaries (% Plan Expenditure)'!E28</f>
        <v>10171.89</v>
      </c>
      <c r="F28" s="76">
        <f ca="1">+'Salaries (% Plan Expenditure)'!F28</f>
        <v>12620.26</v>
      </c>
      <c r="G28" s="76">
        <f ca="1">+'Salaries (% Plan Expenditure)'!G28</f>
        <v>15973.39</v>
      </c>
      <c r="H28" s="76">
        <f ca="1">+'Worksheet Pension &amp; RE'!K28-'Worksheet Pension &amp; RE'!C28-'IP as % of TRR'!C28</f>
        <v>19446.05</v>
      </c>
      <c r="I28" s="76">
        <f ca="1">+'Worksheet Pension &amp; RE'!L28-'Worksheet Pension &amp; RE'!D28-'IP as % of TRR'!D28</f>
        <v>22888.840000000004</v>
      </c>
      <c r="J28" s="76">
        <f ca="1">+'Worksheet Pension &amp; RE'!M28-'Worksheet Pension &amp; RE'!E28-'IP as % of TRR'!E28</f>
        <v>28365.420000000002</v>
      </c>
      <c r="K28" s="76">
        <f ca="1">+'Worksheet Pension &amp; RE'!N28-'Worksheet Pension &amp; RE'!F28-'IP as % of TRR'!F28</f>
        <v>36196.11</v>
      </c>
      <c r="L28" s="76">
        <f ca="1">+'Worksheet Pension &amp; RE'!O28-'Worksheet Pension &amp; RE'!G28-'IP as % of TRR'!G28</f>
        <v>43423.27</v>
      </c>
      <c r="M28" s="446">
        <f t="shared" si="2"/>
        <v>33.598751417382964</v>
      </c>
      <c r="N28" s="446">
        <f t="shared" si="2"/>
        <v>35.287458866416991</v>
      </c>
      <c r="O28" s="446">
        <f t="shared" si="2"/>
        <v>35.860177638829242</v>
      </c>
      <c r="P28" s="446">
        <f t="shared" si="2"/>
        <v>34.866343372257411</v>
      </c>
      <c r="Q28" s="446">
        <f t="shared" si="2"/>
        <v>36.785322708308243</v>
      </c>
    </row>
    <row r="29" spans="1:17" ht="15.75" customHeight="1">
      <c r="A29" s="3">
        <v>22</v>
      </c>
      <c r="B29" s="6" t="s">
        <v>37</v>
      </c>
      <c r="C29" s="76">
        <f ca="1">+'Salaries (% Plan Expenditure)'!C29</f>
        <v>22879.17</v>
      </c>
      <c r="D29" s="76">
        <f ca="1">+'Salaries (% Plan Expenditure)'!D29</f>
        <v>24478</v>
      </c>
      <c r="E29" s="76">
        <f ca="1">+'Salaries (% Plan Expenditure)'!E29</f>
        <v>35467.910000000003</v>
      </c>
      <c r="F29" s="76">
        <f ca="1">+'Salaries (% Plan Expenditure)'!F29</f>
        <v>42054.14</v>
      </c>
      <c r="G29" s="76">
        <f ca="1">+'Salaries (% Plan Expenditure)'!G29</f>
        <v>48761</v>
      </c>
      <c r="H29" s="76">
        <f ca="1">+'Worksheet Pension &amp; RE'!K29-'Worksheet Pension &amp; RE'!C29-'IP as % of TRR'!C29</f>
        <v>47893.75</v>
      </c>
      <c r="I29" s="76">
        <f ca="1">+'Worksheet Pension &amp; RE'!L29-'Worksheet Pension &amp; RE'!D29-'IP as % of TRR'!D29</f>
        <v>57063.600000000006</v>
      </c>
      <c r="J29" s="76">
        <f ca="1">+'Worksheet Pension &amp; RE'!M29-'Worksheet Pension &amp; RE'!E29-'IP as % of TRR'!E29</f>
        <v>73859.360000000001</v>
      </c>
      <c r="K29" s="76">
        <f ca="1">+'Worksheet Pension &amp; RE'!N29-'Worksheet Pension &amp; RE'!F29-'IP as % of TRR'!F29</f>
        <v>80925.48</v>
      </c>
      <c r="L29" s="76">
        <f ca="1">+'Worksheet Pension &amp; RE'!O29-'Worksheet Pension &amp; RE'!G29-'IP as % of TRR'!G29</f>
        <v>97457.39</v>
      </c>
      <c r="M29" s="446">
        <f t="shared" si="2"/>
        <v>47.770679890382354</v>
      </c>
      <c r="N29" s="446">
        <f t="shared" si="2"/>
        <v>42.895996747488766</v>
      </c>
      <c r="O29" s="446">
        <f t="shared" si="2"/>
        <v>48.020873725415441</v>
      </c>
      <c r="P29" s="446">
        <f t="shared" si="2"/>
        <v>51.96650053852013</v>
      </c>
      <c r="Q29" s="446">
        <f t="shared" si="2"/>
        <v>50.033147819780524</v>
      </c>
    </row>
    <row r="30" spans="1:17" ht="15.75" customHeight="1">
      <c r="A30" s="3">
        <v>23</v>
      </c>
      <c r="B30" s="6" t="s">
        <v>104</v>
      </c>
      <c r="C30" s="76">
        <f ca="1">+'Salaries (% Plan Expenditure)'!C30</f>
        <v>4745.4399999999996</v>
      </c>
      <c r="D30" s="76">
        <f ca="1">+'Salaries (% Plan Expenditure)'!D30</f>
        <v>7033.66</v>
      </c>
      <c r="E30" s="76">
        <f ca="1">+'Salaries (% Plan Expenditure)'!E30</f>
        <v>8465.8799999999992</v>
      </c>
      <c r="F30" s="76">
        <f ca="1">+'Salaries (% Plan Expenditure)'!F30</f>
        <v>9657.5499999999993</v>
      </c>
      <c r="G30" s="76">
        <f ca="1">+'Salaries (% Plan Expenditure)'!G30</f>
        <v>10537.72</v>
      </c>
      <c r="H30" s="76">
        <f ca="1">+'Worksheet Pension &amp; RE'!K30-'Worksheet Pension &amp; RE'!C30-'IP as % of TRR'!C30</f>
        <v>12752.43</v>
      </c>
      <c r="I30" s="76">
        <f ca="1">+'Worksheet Pension &amp; RE'!L30-'Worksheet Pension &amp; RE'!D30-'IP as % of TRR'!D30</f>
        <v>16225.35</v>
      </c>
      <c r="J30" s="76">
        <f ca="1">+'Worksheet Pension &amp; RE'!M30-'Worksheet Pension &amp; RE'!E30-'IP as % of TRR'!E30</f>
        <v>18964</v>
      </c>
      <c r="K30" s="76">
        <f ca="1">+'Worksheet Pension &amp; RE'!N30-'Worksheet Pension &amp; RE'!F30-'IP as % of TRR'!F30</f>
        <v>22195.41</v>
      </c>
      <c r="L30" s="76">
        <f ca="1">+'Worksheet Pension &amp; RE'!O30-'Worksheet Pension &amp; RE'!G30-'IP as % of TRR'!G30</f>
        <v>27725.89</v>
      </c>
      <c r="M30" s="446">
        <f t="shared" si="2"/>
        <v>37.212045076899066</v>
      </c>
      <c r="N30" s="446">
        <f t="shared" si="2"/>
        <v>43.349819880618909</v>
      </c>
      <c r="O30" s="446">
        <f t="shared" si="2"/>
        <v>44.641847711453273</v>
      </c>
      <c r="P30" s="446">
        <f t="shared" si="2"/>
        <v>43.511473768675593</v>
      </c>
      <c r="Q30" s="446">
        <f t="shared" si="2"/>
        <v>38.006787158139915</v>
      </c>
    </row>
    <row r="31" spans="1:17" ht="15.75" customHeight="1">
      <c r="A31" s="3">
        <v>24</v>
      </c>
      <c r="B31" s="6" t="s">
        <v>39</v>
      </c>
      <c r="C31" s="76">
        <f ca="1">+'Salaries (% Plan Expenditure)'!C31</f>
        <v>6257.99</v>
      </c>
      <c r="D31" s="76">
        <f ca="1">+'Salaries (% Plan Expenditure)'!D31</f>
        <v>6711.03</v>
      </c>
      <c r="E31" s="76">
        <f ca="1">+'Salaries (% Plan Expenditure)'!E31</f>
        <v>8095.43</v>
      </c>
      <c r="F31" s="76">
        <f ca="1">+'Salaries (% Plan Expenditure)'!F31</f>
        <v>9589.2800000000007</v>
      </c>
      <c r="G31" s="76">
        <f ca="1">+'Salaries (% Plan Expenditure)'!G31</f>
        <v>12417.08</v>
      </c>
      <c r="H31" s="76">
        <f ca="1">+'Worksheet Pension &amp; RE'!K31-'Worksheet Pension &amp; RE'!C31-'IP as % of TRR'!C31</f>
        <v>16101.35</v>
      </c>
      <c r="I31" s="76">
        <f ca="1">+'Worksheet Pension &amp; RE'!L31-'Worksheet Pension &amp; RE'!D31-'IP as % of TRR'!D31</f>
        <v>16837.480000000003</v>
      </c>
      <c r="J31" s="76">
        <f ca="1">+'Worksheet Pension &amp; RE'!M31-'Worksheet Pension &amp; RE'!E31-'IP as % of TRR'!E31</f>
        <v>19039.53</v>
      </c>
      <c r="K31" s="76">
        <f ca="1">+'Worksheet Pension &amp; RE'!N31-'Worksheet Pension &amp; RE'!F31-'IP as % of TRR'!F31</f>
        <v>22072.75</v>
      </c>
      <c r="L31" s="76">
        <f ca="1">+'Worksheet Pension &amp; RE'!O31-'Worksheet Pension &amp; RE'!G31-'IP as % of TRR'!G31</f>
        <v>24053.870000000003</v>
      </c>
      <c r="M31" s="446">
        <f t="shared" si="2"/>
        <v>38.866244134808568</v>
      </c>
      <c r="N31" s="446">
        <f t="shared" si="2"/>
        <v>39.857686542166633</v>
      </c>
      <c r="O31" s="446">
        <f t="shared" si="2"/>
        <v>42.519064283624651</v>
      </c>
      <c r="P31" s="446">
        <f t="shared" si="2"/>
        <v>43.443975037093253</v>
      </c>
      <c r="Q31" s="446">
        <f t="shared" si="2"/>
        <v>51.621963534350179</v>
      </c>
    </row>
    <row r="32" spans="1:17" ht="15.75" customHeight="1">
      <c r="A32" s="3">
        <v>25</v>
      </c>
      <c r="B32" s="6" t="s">
        <v>40</v>
      </c>
      <c r="C32" s="76">
        <f ca="1">+'Salaries (% Plan Expenditure)'!C32</f>
        <v>7691.85</v>
      </c>
      <c r="D32" s="76">
        <f ca="1">+'Salaries (% Plan Expenditure)'!D32</f>
        <v>11269.49</v>
      </c>
      <c r="E32" s="76">
        <f ca="1">+'Salaries (% Plan Expenditure)'!E32</f>
        <v>13802.12</v>
      </c>
      <c r="F32" s="76">
        <f ca="1">+'Salaries (% Plan Expenditure)'!F32</f>
        <v>13351.22</v>
      </c>
      <c r="G32" s="76">
        <f ca="1">+'Salaries (% Plan Expenditure)'!G32</f>
        <v>15472.98</v>
      </c>
      <c r="H32" s="76">
        <f ca="1">+'Worksheet Pension &amp; RE'!K32-'Worksheet Pension &amp; RE'!C32-'IP as % of TRR'!C32</f>
        <v>20620.46</v>
      </c>
      <c r="I32" s="76">
        <f ca="1">+'Worksheet Pension &amp; RE'!L32-'Worksheet Pension &amp; RE'!D32-'IP as % of TRR'!D32</f>
        <v>24749.239999999998</v>
      </c>
      <c r="J32" s="76">
        <f ca="1">+'Worksheet Pension &amp; RE'!M32-'Worksheet Pension &amp; RE'!E32-'IP as % of TRR'!E32</f>
        <v>28476.210000000003</v>
      </c>
      <c r="K32" s="76">
        <f ca="1">+'Worksheet Pension &amp; RE'!N32-'Worksheet Pension &amp; RE'!F32-'IP as % of TRR'!F32</f>
        <v>32353.699999999997</v>
      </c>
      <c r="L32" s="76">
        <f ca="1">+'Worksheet Pension &amp; RE'!O32-'Worksheet Pension &amp; RE'!G32-'IP as % of TRR'!G32</f>
        <v>37766.789999999994</v>
      </c>
      <c r="M32" s="446">
        <f t="shared" si="2"/>
        <v>37.302029149689197</v>
      </c>
      <c r="N32" s="446">
        <f t="shared" si="2"/>
        <v>45.5346911662742</v>
      </c>
      <c r="O32" s="446">
        <f t="shared" si="2"/>
        <v>48.468950046372036</v>
      </c>
      <c r="P32" s="446">
        <f t="shared" si="2"/>
        <v>41.266439387148921</v>
      </c>
      <c r="Q32" s="446">
        <f t="shared" si="2"/>
        <v>40.969804423410096</v>
      </c>
    </row>
    <row r="33" spans="1:17" ht="15.75" customHeight="1">
      <c r="A33" s="3">
        <v>26</v>
      </c>
      <c r="B33" s="6" t="s">
        <v>41</v>
      </c>
      <c r="C33" s="76">
        <f ca="1">+'Salaries (% Plan Expenditure)'!C33</f>
        <v>11005.84</v>
      </c>
      <c r="D33" s="76">
        <f ca="1">+'Salaries (% Plan Expenditure)'!D33</f>
        <v>14265.63</v>
      </c>
      <c r="E33" s="76">
        <f ca="1">+'Salaries (% Plan Expenditure)'!E33</f>
        <v>17275.68</v>
      </c>
      <c r="F33" s="76">
        <f ca="1">+'Salaries (% Plan Expenditure)'!F33</f>
        <v>21545.200000000001</v>
      </c>
      <c r="G33" s="76">
        <f ca="1">+'Salaries (% Plan Expenditure)'!G33</f>
        <v>23866.080000000002</v>
      </c>
      <c r="H33" s="76">
        <f ca="1">+'Worksheet Pension &amp; RE'!K33-'Worksheet Pension &amp; RE'!C33-'IP as % of TRR'!C33</f>
        <v>30872.130000000005</v>
      </c>
      <c r="I33" s="76">
        <f ca="1">+'Worksheet Pension &amp; RE'!L33-'Worksheet Pension &amp; RE'!D33-'IP as % of TRR'!D33</f>
        <v>39892.890000000007</v>
      </c>
      <c r="J33" s="76">
        <f ca="1">+'Worksheet Pension &amp; RE'!M33-'Worksheet Pension &amp; RE'!E33-'IP as % of TRR'!E33</f>
        <v>44323.11</v>
      </c>
      <c r="K33" s="76">
        <f ca="1">+'Worksheet Pension &amp; RE'!N33-'Worksheet Pension &amp; RE'!F33-'IP as % of TRR'!F33</f>
        <v>53208.31</v>
      </c>
      <c r="L33" s="76">
        <f ca="1">+'Worksheet Pension &amp; RE'!O33-'Worksheet Pension &amp; RE'!G33-'IP as % of TRR'!G33</f>
        <v>59267.340000000011</v>
      </c>
      <c r="M33" s="446">
        <f t="shared" si="2"/>
        <v>35.649759184092574</v>
      </c>
      <c r="N33" s="446">
        <f t="shared" si="2"/>
        <v>35.759830887158081</v>
      </c>
      <c r="O33" s="446">
        <f t="shared" si="2"/>
        <v>38.976687330830352</v>
      </c>
      <c r="P33" s="446">
        <f t="shared" si="2"/>
        <v>40.492171241672594</v>
      </c>
      <c r="Q33" s="446">
        <f t="shared" si="2"/>
        <v>40.268518884093666</v>
      </c>
    </row>
    <row r="34" spans="1:17" ht="15.75" customHeight="1">
      <c r="A34" s="3">
        <v>27</v>
      </c>
      <c r="B34" s="6" t="s">
        <v>42</v>
      </c>
      <c r="C34" s="76">
        <f ca="1">+'Salaries (% Plan Expenditure)'!C34</f>
        <v>19603.89</v>
      </c>
      <c r="D34" s="76">
        <f ca="1">+'Salaries (% Plan Expenditure)'!D34</f>
        <v>14156.88</v>
      </c>
      <c r="E34" s="76">
        <f ca="1">+'Salaries (% Plan Expenditure)'!E34</f>
        <v>19711.009999999998</v>
      </c>
      <c r="F34" s="76">
        <f ca="1">+'Salaries (% Plan Expenditure)'!F34</f>
        <v>22659.18</v>
      </c>
      <c r="G34" s="76">
        <f ca="1">+'Salaries (% Plan Expenditure)'!G34</f>
        <v>24661.57</v>
      </c>
      <c r="H34" s="76">
        <f ca="1">+'Worksheet Pension &amp; RE'!K34-'Worksheet Pension &amp; RE'!C34-'IP as % of TRR'!C34</f>
        <v>48266.82</v>
      </c>
      <c r="I34" s="76">
        <f ca="1">+'Worksheet Pension &amp; RE'!L34-'Worksheet Pension &amp; RE'!D34-'IP as % of TRR'!D34</f>
        <v>57667.61</v>
      </c>
      <c r="J34" s="76">
        <f ca="1">+'Worksheet Pension &amp; RE'!M34-'Worksheet Pension &amp; RE'!E34-'IP as % of TRR'!E34</f>
        <v>66310.720000000001</v>
      </c>
      <c r="K34" s="76">
        <f ca="1">+'Worksheet Pension &amp; RE'!N34-'Worksheet Pension &amp; RE'!F34-'IP as % of TRR'!F34</f>
        <v>80842.200000000012</v>
      </c>
      <c r="L34" s="76">
        <f ca="1">+'Worksheet Pension &amp; RE'!O34-'Worksheet Pension &amp; RE'!G34-'IP as % of TRR'!G34</f>
        <v>100988.15</v>
      </c>
      <c r="M34" s="446">
        <f t="shared" si="2"/>
        <v>40.615665171229423</v>
      </c>
      <c r="N34" s="446">
        <f t="shared" si="2"/>
        <v>24.54910130660868</v>
      </c>
      <c r="O34" s="446">
        <f t="shared" si="2"/>
        <v>29.725223915529792</v>
      </c>
      <c r="P34" s="446">
        <f t="shared" si="2"/>
        <v>28.028900747381936</v>
      </c>
      <c r="Q34" s="446">
        <f t="shared" si="2"/>
        <v>24.420261189060302</v>
      </c>
    </row>
    <row r="35" spans="1:17" ht="15.75" customHeight="1">
      <c r="A35" s="3">
        <v>28</v>
      </c>
      <c r="B35" s="6" t="s">
        <v>43</v>
      </c>
      <c r="C35" s="76">
        <f ca="1">+'Salaries (% Plan Expenditure)'!C35</f>
        <v>12178.02</v>
      </c>
      <c r="D35" s="76">
        <f ca="1">+'Salaries (% Plan Expenditure)'!D35</f>
        <v>13761.44</v>
      </c>
      <c r="E35" s="76">
        <f ca="1">+'Salaries (% Plan Expenditure)'!E35</f>
        <v>21880.75</v>
      </c>
      <c r="F35" s="76">
        <f ca="1">+'Salaries (% Plan Expenditure)'!F35</f>
        <v>24954.06</v>
      </c>
      <c r="G35" s="76">
        <f ca="1">+'Salaries (% Plan Expenditure)'!G35</f>
        <v>26883.7</v>
      </c>
      <c r="H35" s="76">
        <f ca="1">+'Worksheet Pension &amp; RE'!K35-'Worksheet Pension &amp; RE'!C35-'IP as % of TRR'!C35</f>
        <v>22935.46</v>
      </c>
      <c r="I35" s="76">
        <f ca="1">+'Worksheet Pension &amp; RE'!L35-'Worksheet Pension &amp; RE'!D35-'IP as % of TRR'!D35</f>
        <v>35111.53</v>
      </c>
      <c r="J35" s="76">
        <f ca="1">+'Worksheet Pension &amp; RE'!M35-'Worksheet Pension &amp; RE'!E35-'IP as % of TRR'!E35</f>
        <v>38684.189999999995</v>
      </c>
      <c r="K35" s="76">
        <f ca="1">+'Worksheet Pension &amp; RE'!N35-'Worksheet Pension &amp; RE'!F35-'IP as % of TRR'!F35</f>
        <v>42642.900000000009</v>
      </c>
      <c r="L35" s="76">
        <f ca="1">+'Worksheet Pension &amp; RE'!O35-'Worksheet Pension &amp; RE'!G35-'IP as % of TRR'!G35</f>
        <v>52166.250000000015</v>
      </c>
      <c r="M35" s="446">
        <f t="shared" si="2"/>
        <v>53.096907583279339</v>
      </c>
      <c r="N35" s="446">
        <f t="shared" si="2"/>
        <v>39.193507090121109</v>
      </c>
      <c r="O35" s="446">
        <f t="shared" si="2"/>
        <v>56.562513005959289</v>
      </c>
      <c r="P35" s="446">
        <f t="shared" si="2"/>
        <v>58.518674855603145</v>
      </c>
      <c r="Q35" s="446">
        <f t="shared" si="2"/>
        <v>51.53466081997459</v>
      </c>
    </row>
    <row r="36" spans="1:17" s="79" customFormat="1" ht="15.75" customHeight="1">
      <c r="A36" s="4"/>
      <c r="B36" s="4" t="s">
        <v>82</v>
      </c>
      <c r="C36" s="77">
        <f t="shared" ref="C36:L36" si="3">SUM(C19:C35)</f>
        <v>142820.79</v>
      </c>
      <c r="D36" s="77">
        <f t="shared" si="3"/>
        <v>160065.78</v>
      </c>
      <c r="E36" s="77">
        <f t="shared" si="3"/>
        <v>205786.49000000002</v>
      </c>
      <c r="F36" s="77">
        <f t="shared" si="3"/>
        <v>248699.75999999998</v>
      </c>
      <c r="G36" s="77">
        <f t="shared" si="3"/>
        <v>290506.37</v>
      </c>
      <c r="H36" s="77">
        <f t="shared" si="3"/>
        <v>377565.04000000004</v>
      </c>
      <c r="I36" s="77">
        <f t="shared" si="3"/>
        <v>458848.14</v>
      </c>
      <c r="J36" s="77">
        <f t="shared" si="3"/>
        <v>533727.5</v>
      </c>
      <c r="K36" s="77">
        <f t="shared" si="3"/>
        <v>619445.76000000001</v>
      </c>
      <c r="L36" s="77">
        <f t="shared" si="3"/>
        <v>753488.91</v>
      </c>
      <c r="M36" s="447">
        <f t="shared" si="2"/>
        <v>37.826804621529575</v>
      </c>
      <c r="N36" s="447">
        <f t="shared" si="2"/>
        <v>34.88426040040175</v>
      </c>
      <c r="O36" s="447">
        <f>E36/J36*100</f>
        <v>38.556471232979376</v>
      </c>
      <c r="P36" s="447">
        <f>F36/K36*100</f>
        <v>40.148754912778799</v>
      </c>
      <c r="Q36" s="447">
        <f>G36/L36*100</f>
        <v>38.554830223048668</v>
      </c>
    </row>
    <row r="37" spans="1:17" ht="15.75" customHeight="1">
      <c r="A37" s="6"/>
      <c r="B37" s="4" t="s">
        <v>61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446"/>
      <c r="N37" s="446"/>
      <c r="O37" s="459"/>
      <c r="P37" s="459"/>
      <c r="Q37" s="459"/>
    </row>
    <row r="38" spans="1:17" ht="15.75" customHeight="1">
      <c r="A38" s="3">
        <v>29</v>
      </c>
      <c r="B38" s="6" t="s">
        <v>46</v>
      </c>
      <c r="C38" s="76">
        <f ca="1">+'Salaries (% Plan Expenditure)'!C38</f>
        <v>1713.62</v>
      </c>
      <c r="D38" s="76">
        <f ca="1">+'Salaries (% Plan Expenditure)'!D38</f>
        <v>2905.18</v>
      </c>
      <c r="E38" s="76">
        <f ca="1">+'Salaries (% Plan Expenditure)'!E38</f>
        <v>3836.32</v>
      </c>
      <c r="F38" s="76">
        <f ca="1">+'Salaries (% Plan Expenditure)'!F38</f>
        <v>3431.86</v>
      </c>
      <c r="G38" s="76">
        <f ca="1">+'Salaries (% Plan Expenditure)'!G38</f>
        <v>3994.34</v>
      </c>
      <c r="H38" s="76">
        <f ca="1">+'Worksheet Pension &amp; RE'!K38-'Worksheet Pension &amp; RE'!C38-'IP as % of TRR'!C38</f>
        <v>7266.18</v>
      </c>
      <c r="I38" s="76">
        <f ca="1">+'Worksheet Pension &amp; RE'!L38-'Worksheet Pension &amp; RE'!D38-'IP as % of TRR'!D38</f>
        <v>9250.6899999999987</v>
      </c>
      <c r="J38" s="76">
        <f ca="1">+'Worksheet Pension &amp; RE'!M38-'Worksheet Pension &amp; RE'!E38-'IP as % of TRR'!E38</f>
        <v>11427.96</v>
      </c>
      <c r="K38" s="76">
        <f ca="1">+'Worksheet Pension &amp; RE'!N38-'Worksheet Pension &amp; RE'!F38-'IP as % of TRR'!F38</f>
        <v>11802.21</v>
      </c>
      <c r="L38" s="76">
        <f ca="1">+'Worksheet Pension &amp; RE'!O38-'Worksheet Pension &amp; RE'!G38-'IP as % of TRR'!G38</f>
        <v>16068.880000000001</v>
      </c>
      <c r="M38" s="446">
        <f t="shared" ref="M38:Q40" si="4">C38/H38*100</f>
        <v>23.583506051322701</v>
      </c>
      <c r="N38" s="446">
        <f t="shared" si="4"/>
        <v>31.405008707458581</v>
      </c>
      <c r="O38" s="446">
        <f t="shared" si="4"/>
        <v>33.56959597338458</v>
      </c>
      <c r="P38" s="446">
        <f t="shared" si="4"/>
        <v>29.078113336400556</v>
      </c>
      <c r="Q38" s="446">
        <f t="shared" si="4"/>
        <v>24.857612976137727</v>
      </c>
    </row>
    <row r="39" spans="1:17" ht="15.75" customHeight="1">
      <c r="A39" s="3">
        <v>30</v>
      </c>
      <c r="B39" s="6" t="s">
        <v>47</v>
      </c>
      <c r="C39" s="76">
        <f ca="1">+'Salaries (% Plan Expenditure)'!C39</f>
        <v>445</v>
      </c>
      <c r="D39" s="76">
        <f ca="1">+'Salaries (% Plan Expenditure)'!D39</f>
        <v>688</v>
      </c>
      <c r="E39" s="76">
        <f ca="1">+'Salaries (% Plan Expenditure)'!E39</f>
        <v>868</v>
      </c>
      <c r="F39" s="76">
        <f ca="1">+'Salaries (% Plan Expenditure)'!F39</f>
        <v>1011</v>
      </c>
      <c r="G39" s="76">
        <f ca="1">+'Salaries (% Plan Expenditure)'!G39</f>
        <v>1005</v>
      </c>
      <c r="H39" s="76">
        <f ca="1">+'Worksheet Pension &amp; RE'!K39-'Worksheet Pension &amp; RE'!C39-'IP as % of TRR'!C39</f>
        <v>1894</v>
      </c>
      <c r="I39" s="76">
        <f ca="1">+'Worksheet Pension &amp; RE'!L39-'Worksheet Pension &amp; RE'!D39-'IP as % of TRR'!D39</f>
        <v>2175</v>
      </c>
      <c r="J39" s="76">
        <f ca="1">+'Worksheet Pension &amp; RE'!M39-'Worksheet Pension &amp; RE'!E39-'IP as % of TRR'!E39</f>
        <v>2507</v>
      </c>
      <c r="K39" s="76">
        <f ca="1">+'Worksheet Pension &amp; RE'!N39-'Worksheet Pension &amp; RE'!F39-'IP as % of TRR'!F39</f>
        <v>2958</v>
      </c>
      <c r="L39" s="76">
        <f ca="1">+'Worksheet Pension &amp; RE'!O39-'Worksheet Pension &amp; RE'!G39-'IP as % of TRR'!G39</f>
        <v>3098</v>
      </c>
      <c r="M39" s="446">
        <f t="shared" si="4"/>
        <v>23.495248152059133</v>
      </c>
      <c r="N39" s="446">
        <f t="shared" si="4"/>
        <v>31.632183908045974</v>
      </c>
      <c r="O39" s="446">
        <f t="shared" si="4"/>
        <v>34.623055444754684</v>
      </c>
      <c r="P39" s="446">
        <f t="shared" si="4"/>
        <v>34.178498985801212</v>
      </c>
      <c r="Q39" s="446">
        <f t="shared" si="4"/>
        <v>32.440284054228535</v>
      </c>
    </row>
    <row r="40" spans="1:17" s="79" customFormat="1" ht="15.75" customHeight="1">
      <c r="A40" s="4"/>
      <c r="B40" s="4" t="s">
        <v>83</v>
      </c>
      <c r="C40" s="77">
        <f t="shared" ref="C40:I40" si="5">SUM(C38:C39)</f>
        <v>2158.62</v>
      </c>
      <c r="D40" s="77">
        <f t="shared" si="5"/>
        <v>3593.18</v>
      </c>
      <c r="E40" s="77">
        <f>SUM(E38:E39)</f>
        <v>4704.32</v>
      </c>
      <c r="F40" s="77">
        <f>SUM(F38:F39)</f>
        <v>4442.8600000000006</v>
      </c>
      <c r="G40" s="77">
        <f>SUM(G38:G39)</f>
        <v>4999.34</v>
      </c>
      <c r="H40" s="77">
        <f t="shared" si="5"/>
        <v>9160.18</v>
      </c>
      <c r="I40" s="77">
        <f t="shared" si="5"/>
        <v>11425.689999999999</v>
      </c>
      <c r="J40" s="77">
        <f>SUM(J38:J39)</f>
        <v>13934.96</v>
      </c>
      <c r="K40" s="77">
        <f>SUM(K38:K39)</f>
        <v>14760.21</v>
      </c>
      <c r="L40" s="77">
        <f>SUM(L38:L39)</f>
        <v>19166.88</v>
      </c>
      <c r="M40" s="447">
        <f t="shared" si="4"/>
        <v>23.565257451272789</v>
      </c>
      <c r="N40" s="447">
        <f t="shared" si="4"/>
        <v>31.448253891012275</v>
      </c>
      <c r="O40" s="447">
        <f t="shared" si="4"/>
        <v>33.759120944731812</v>
      </c>
      <c r="P40" s="447">
        <f t="shared" si="4"/>
        <v>30.100249251196299</v>
      </c>
      <c r="Q40" s="447">
        <f t="shared" si="4"/>
        <v>26.083222725868787</v>
      </c>
    </row>
    <row r="41" spans="1:17">
      <c r="A41" s="6"/>
      <c r="B41" s="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446"/>
      <c r="N41" s="446"/>
      <c r="O41" s="446"/>
      <c r="P41" s="446"/>
      <c r="Q41" s="446"/>
    </row>
    <row r="42" spans="1:17" s="79" customFormat="1">
      <c r="A42" s="4"/>
      <c r="B42" s="4" t="s">
        <v>84</v>
      </c>
      <c r="C42" s="77">
        <f t="shared" ref="C42:I42" si="6">+C17+C36+C40</f>
        <v>166407.88</v>
      </c>
      <c r="D42" s="77">
        <f t="shared" si="6"/>
        <v>187673</v>
      </c>
      <c r="E42" s="77">
        <f>+E17+E36+E40</f>
        <v>241251.24000000002</v>
      </c>
      <c r="F42" s="77">
        <f>+F17+F36+F40</f>
        <v>290531.81</v>
      </c>
      <c r="G42" s="77">
        <f>+G17+G36+G40</f>
        <v>338670.48000000004</v>
      </c>
      <c r="H42" s="77">
        <f t="shared" si="6"/>
        <v>428660.84</v>
      </c>
      <c r="I42" s="77">
        <f t="shared" si="6"/>
        <v>518137.58</v>
      </c>
      <c r="J42" s="77">
        <f>+J17+J36+J40</f>
        <v>607355.64999999991</v>
      </c>
      <c r="K42" s="77">
        <f>+K17+K36+K40</f>
        <v>710431.09</v>
      </c>
      <c r="L42" s="77">
        <f>+L17+L36+L40</f>
        <v>857627.46000000008</v>
      </c>
      <c r="M42" s="447">
        <f>C42/H42*100</f>
        <v>38.820406361355516</v>
      </c>
      <c r="N42" s="447">
        <f>D42/I42*100</f>
        <v>36.220688721323782</v>
      </c>
      <c r="O42" s="447">
        <f>E42/J42*100</f>
        <v>39.721576641297411</v>
      </c>
      <c r="P42" s="447">
        <f>F42/K42*100</f>
        <v>40.89514297579516</v>
      </c>
      <c r="Q42" s="447">
        <f>G42/L42*100</f>
        <v>39.489229974049572</v>
      </c>
    </row>
    <row r="43" spans="1:17">
      <c r="B43" s="29" t="s">
        <v>199</v>
      </c>
      <c r="H43" s="285"/>
      <c r="I43" s="285"/>
      <c r="J43" s="285"/>
      <c r="K43" s="285"/>
      <c r="L43" s="285"/>
    </row>
    <row r="46" spans="1:17">
      <c r="H46" s="285"/>
    </row>
    <row r="47" spans="1:17">
      <c r="J47" s="285"/>
    </row>
  </sheetData>
  <mergeCells count="6">
    <mergeCell ref="A1:N1"/>
    <mergeCell ref="A2:A3"/>
    <mergeCell ref="B2:B3"/>
    <mergeCell ref="C2:G2"/>
    <mergeCell ref="H2:L2"/>
    <mergeCell ref="M2:Q2"/>
  </mergeCells>
  <phoneticPr fontId="63" type="noConversion"/>
  <printOptions horizontalCentered="1"/>
  <pageMargins left="0.35433070866141736" right="0.35433070866141736" top="0.78740157480314965" bottom="0.39370078740157483" header="0" footer="0"/>
  <pageSetup paperSize="9" scale="67" orientation="landscape" verticalDpi="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4"/>
  <sheetViews>
    <sheetView zoomScaleNormal="100" workbookViewId="0">
      <pane xSplit="2" ySplit="3" topLeftCell="C19" activePane="bottomRight" state="frozen"/>
      <selection pane="topRight" activeCell="C1" sqref="C1"/>
      <selection pane="bottomLeft" activeCell="A2" sqref="A2"/>
      <selection pane="bottomRight" activeCell="B31" sqref="B31"/>
    </sheetView>
  </sheetViews>
  <sheetFormatPr defaultRowHeight="12.75"/>
  <cols>
    <col min="1" max="1" width="5.42578125" style="29" customWidth="1"/>
    <col min="2" max="2" width="35.28515625" style="29" customWidth="1"/>
    <col min="3" max="7" width="11" style="24" customWidth="1"/>
    <col min="8" max="12" width="12" style="24" customWidth="1"/>
    <col min="13" max="13" width="12.28515625" style="29" customWidth="1"/>
    <col min="14" max="14" width="11.140625" style="29" customWidth="1"/>
    <col min="15" max="16" width="11" style="29" customWidth="1"/>
    <col min="17" max="16384" width="9.140625" style="29"/>
  </cols>
  <sheetData>
    <row r="1" spans="1:17" ht="25.5" customHeight="1">
      <c r="A1" s="602" t="s">
        <v>283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24"/>
      <c r="N1" s="624"/>
      <c r="O1" s="624"/>
      <c r="P1" s="80"/>
    </row>
    <row r="2" spans="1:17" ht="32.25" customHeight="1">
      <c r="A2" s="636" t="s">
        <v>51</v>
      </c>
      <c r="B2" s="639" t="s">
        <v>1</v>
      </c>
      <c r="C2" s="629" t="s">
        <v>87</v>
      </c>
      <c r="D2" s="630"/>
      <c r="E2" s="630"/>
      <c r="F2" s="630"/>
      <c r="G2" s="631"/>
      <c r="H2" s="629" t="s">
        <v>284</v>
      </c>
      <c r="I2" s="630"/>
      <c r="J2" s="630"/>
      <c r="K2" s="630"/>
      <c r="L2" s="631"/>
      <c r="M2" s="609" t="s">
        <v>88</v>
      </c>
      <c r="N2" s="609"/>
      <c r="O2" s="609"/>
      <c r="P2" s="609"/>
      <c r="Q2" s="609"/>
    </row>
    <row r="3" spans="1:17" ht="21.75" customHeight="1">
      <c r="A3" s="637"/>
      <c r="B3" s="640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437" t="s">
        <v>5</v>
      </c>
      <c r="N3" s="437" t="s">
        <v>6</v>
      </c>
      <c r="O3" s="437" t="s">
        <v>7</v>
      </c>
      <c r="P3" s="437" t="s">
        <v>8</v>
      </c>
      <c r="Q3" s="437" t="s">
        <v>9</v>
      </c>
    </row>
    <row r="4" spans="1:17" s="79" customFormat="1" ht="18" customHeight="1">
      <c r="A4" s="638"/>
      <c r="B4" s="286">
        <v>41129</v>
      </c>
      <c r="C4" s="1" t="s">
        <v>10</v>
      </c>
      <c r="D4" s="1" t="s">
        <v>10</v>
      </c>
      <c r="E4" s="1" t="s">
        <v>10</v>
      </c>
      <c r="F4" s="1" t="s">
        <v>58</v>
      </c>
      <c r="G4" s="1" t="s">
        <v>12</v>
      </c>
      <c r="H4" s="1" t="s">
        <v>10</v>
      </c>
      <c r="I4" s="1" t="s">
        <v>10</v>
      </c>
      <c r="J4" s="1" t="s">
        <v>10</v>
      </c>
      <c r="K4" s="1" t="s">
        <v>58</v>
      </c>
      <c r="L4" s="1" t="s">
        <v>12</v>
      </c>
      <c r="M4" s="437" t="s">
        <v>10</v>
      </c>
      <c r="N4" s="437" t="s">
        <v>10</v>
      </c>
      <c r="O4" s="437" t="s">
        <v>10</v>
      </c>
      <c r="P4" s="437" t="s">
        <v>58</v>
      </c>
      <c r="Q4" s="437" t="s">
        <v>12</v>
      </c>
    </row>
    <row r="5" spans="1:17" ht="15.75" customHeight="1">
      <c r="A5" s="6"/>
      <c r="B5" s="4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439"/>
      <c r="N5" s="439"/>
      <c r="O5" s="439"/>
      <c r="P5" s="439"/>
      <c r="Q5" s="459"/>
    </row>
    <row r="6" spans="1:17" ht="15.75" customHeight="1">
      <c r="A6" s="3">
        <v>1</v>
      </c>
      <c r="B6" s="6" t="s">
        <v>59</v>
      </c>
      <c r="C6" s="76">
        <f ca="1">+'Salaries (% Revenue Exp)'!C6</f>
        <v>515.9</v>
      </c>
      <c r="D6" s="76">
        <f ca="1">+'Salaries (% Revenue Exp)'!D6</f>
        <v>842.67</v>
      </c>
      <c r="E6" s="76">
        <f ca="1">+'Salaries (% Revenue Exp)'!E6</f>
        <v>1462.47</v>
      </c>
      <c r="F6" s="76">
        <f ca="1">+'Salaries (% Revenue Exp)'!F6</f>
        <v>1395.47</v>
      </c>
      <c r="G6" s="76">
        <f ca="1">+'Salaries (% Revenue Exp)'!G6</f>
        <v>1654.94</v>
      </c>
      <c r="H6" s="9">
        <f ca="1">+'Social Allocation Ratio'!C6</f>
        <v>3015.68</v>
      </c>
      <c r="I6" s="9">
        <f ca="1">+'Social Allocation Ratio'!D6</f>
        <v>4256.76</v>
      </c>
      <c r="J6" s="9">
        <f ca="1">+'Social Allocation Ratio'!E6</f>
        <v>4931.3500000000004</v>
      </c>
      <c r="K6" s="9">
        <f ca="1">+'Social Allocation Ratio'!F6</f>
        <v>5317.07</v>
      </c>
      <c r="L6" s="9">
        <f ca="1">+'Social Allocation Ratio'!G6</f>
        <v>6683.22</v>
      </c>
      <c r="M6" s="446">
        <f t="shared" ref="M6:Q21" si="0">+C6/H6*100</f>
        <v>17.107252758913415</v>
      </c>
      <c r="N6" s="446">
        <f>+D6/I6*100</f>
        <v>19.796042060158427</v>
      </c>
      <c r="O6" s="446">
        <f>+E6/J6*100</f>
        <v>29.656584910825636</v>
      </c>
      <c r="P6" s="446">
        <f>+F6/K6*100</f>
        <v>26.245093632395289</v>
      </c>
      <c r="Q6" s="446">
        <f>+G6/L6*100</f>
        <v>24.762614428374345</v>
      </c>
    </row>
    <row r="7" spans="1:17" ht="15.75" customHeight="1">
      <c r="A7" s="3">
        <v>2</v>
      </c>
      <c r="B7" s="6" t="s">
        <v>15</v>
      </c>
      <c r="C7" s="76">
        <f ca="1">+'Salaries (% Revenue Exp)'!C7</f>
        <v>5766.86</v>
      </c>
      <c r="D7" s="76">
        <f ca="1">+'Salaries (% Revenue Exp)'!D7</f>
        <v>5415.29</v>
      </c>
      <c r="E7" s="76">
        <f ca="1">+'Salaries (% Revenue Exp)'!E7</f>
        <v>6466.32</v>
      </c>
      <c r="F7" s="76">
        <f ca="1">+'Salaries (% Revenue Exp)'!F7</f>
        <v>8521.07</v>
      </c>
      <c r="G7" s="76">
        <f ca="1">+'Salaries (% Revenue Exp)'!G7</f>
        <v>7541.38</v>
      </c>
      <c r="H7" s="9">
        <f ca="1">+'Social Allocation Ratio'!C7</f>
        <v>14432.3</v>
      </c>
      <c r="I7" s="9">
        <f ca="1">+'Social Allocation Ratio'!D7</f>
        <v>16634.099999999999</v>
      </c>
      <c r="J7" s="9">
        <f ca="1">+'Social Allocation Ratio'!E7</f>
        <v>19862.009999999998</v>
      </c>
      <c r="K7" s="9">
        <f ca="1">+'Social Allocation Ratio'!F7</f>
        <v>26443.31</v>
      </c>
      <c r="L7" s="9">
        <f ca="1">+'Social Allocation Ratio'!G7</f>
        <v>33375.68</v>
      </c>
      <c r="M7" s="446">
        <f t="shared" si="0"/>
        <v>39.95801085066136</v>
      </c>
      <c r="N7" s="446">
        <f t="shared" si="0"/>
        <v>32.555353160074787</v>
      </c>
      <c r="O7" s="446">
        <f t="shared" si="0"/>
        <v>32.556221651283032</v>
      </c>
      <c r="P7" s="446">
        <f t="shared" si="0"/>
        <v>32.223915992362528</v>
      </c>
      <c r="Q7" s="446">
        <f t="shared" si="0"/>
        <v>22.5954347596813</v>
      </c>
    </row>
    <row r="8" spans="1:17" ht="15.75" customHeight="1">
      <c r="A8" s="3">
        <v>3</v>
      </c>
      <c r="B8" s="6" t="s">
        <v>16</v>
      </c>
      <c r="C8" s="76">
        <f ca="1">+'Salaries (% Revenue Exp)'!C8</f>
        <v>3014.89</v>
      </c>
      <c r="D8" s="76">
        <f ca="1">+'Salaries (% Revenue Exp)'!D8</f>
        <v>3314.89</v>
      </c>
      <c r="E8" s="76">
        <f ca="1">+'Salaries (% Revenue Exp)'!E8</f>
        <v>4094.66</v>
      </c>
      <c r="F8" s="76">
        <f ca="1">+'Salaries (% Revenue Exp)'!F8</f>
        <v>5166.3899999999994</v>
      </c>
      <c r="G8" s="76">
        <f ca="1">+'Salaries (% Revenue Exp)'!G8</f>
        <v>5881.65</v>
      </c>
      <c r="H8" s="9">
        <f ca="1">+'Social Allocation Ratio'!C8</f>
        <v>9719.19</v>
      </c>
      <c r="I8" s="9">
        <f ca="1">+'Social Allocation Ratio'!D8</f>
        <v>11534.8</v>
      </c>
      <c r="J8" s="9">
        <f ca="1">+'Social Allocation Ratio'!E8</f>
        <v>13164.12</v>
      </c>
      <c r="K8" s="9">
        <f ca="1">+'Social Allocation Ratio'!F8</f>
        <v>15261.82</v>
      </c>
      <c r="L8" s="9">
        <f ca="1">+'Social Allocation Ratio'!G8</f>
        <v>15747.62</v>
      </c>
      <c r="M8" s="446">
        <f t="shared" si="0"/>
        <v>31.019971828928128</v>
      </c>
      <c r="N8" s="446">
        <f t="shared" si="0"/>
        <v>28.738166244755003</v>
      </c>
      <c r="O8" s="446">
        <f t="shared" si="0"/>
        <v>31.104699744456898</v>
      </c>
      <c r="P8" s="446">
        <f t="shared" si="0"/>
        <v>33.851729348138029</v>
      </c>
      <c r="Q8" s="446">
        <f t="shared" si="0"/>
        <v>37.349453441218415</v>
      </c>
    </row>
    <row r="9" spans="1:17" ht="15.75" customHeight="1">
      <c r="A9" s="3">
        <v>4</v>
      </c>
      <c r="B9" s="6" t="s">
        <v>60</v>
      </c>
      <c r="C9" s="76">
        <f ca="1">+'Salaries (% Revenue Exp)'!C9</f>
        <v>4475</v>
      </c>
      <c r="D9" s="76">
        <f ca="1">+'Salaries (% Revenue Exp)'!D9</f>
        <v>5077.78</v>
      </c>
      <c r="E9" s="76">
        <f ca="1">+'Salaries (% Revenue Exp)'!E9</f>
        <v>6022.81</v>
      </c>
      <c r="F9" s="76">
        <f ca="1">+'Salaries (% Revenue Exp)'!F9</f>
        <v>7722</v>
      </c>
      <c r="G9" s="76">
        <f ca="1">+'Salaries (% Revenue Exp)'!G9</f>
        <v>11776</v>
      </c>
      <c r="H9" s="9">
        <f ca="1">+'Social Allocation Ratio'!C9</f>
        <v>15906.32</v>
      </c>
      <c r="I9" s="9">
        <f ca="1">+'Social Allocation Ratio'!D9</f>
        <v>17011.68</v>
      </c>
      <c r="J9" s="9">
        <f ca="1">+'Social Allocation Ratio'!E9</f>
        <v>21606.78</v>
      </c>
      <c r="K9" s="9">
        <f ca="1">+'Social Allocation Ratio'!F9</f>
        <v>24601.98</v>
      </c>
      <c r="L9" s="9">
        <f ca="1">+'Social Allocation Ratio'!G9</f>
        <v>30117.37</v>
      </c>
      <c r="M9" s="446">
        <f t="shared" si="0"/>
        <v>28.133471475488985</v>
      </c>
      <c r="N9" s="446">
        <f t="shared" si="0"/>
        <v>29.848786245685314</v>
      </c>
      <c r="O9" s="446">
        <f t="shared" si="0"/>
        <v>27.874630092961567</v>
      </c>
      <c r="P9" s="446">
        <f t="shared" si="0"/>
        <v>31.387717573951367</v>
      </c>
      <c r="Q9" s="446">
        <f t="shared" si="0"/>
        <v>39.100359692762019</v>
      </c>
    </row>
    <row r="10" spans="1:17" ht="15.75" customHeight="1">
      <c r="A10" s="3">
        <v>5</v>
      </c>
      <c r="B10" s="6" t="s">
        <v>18</v>
      </c>
      <c r="C10" s="76">
        <f ca="1">+'Salaries (% Revenue Exp)'!C10</f>
        <v>890.17</v>
      </c>
      <c r="D10" s="76">
        <f ca="1">+'Salaries (% Revenue Exp)'!D10</f>
        <v>1063.32</v>
      </c>
      <c r="E10" s="76">
        <f ca="1">+'Salaries (% Revenue Exp)'!E10</f>
        <v>1148.8900000000001</v>
      </c>
      <c r="F10" s="76">
        <f ca="1">+'Salaries (% Revenue Exp)'!F10</f>
        <v>1673.15</v>
      </c>
      <c r="G10" s="76">
        <f ca="1">+'Salaries (% Revenue Exp)'!G10</f>
        <v>1841.66</v>
      </c>
      <c r="H10" s="9">
        <f ca="1">+'Social Allocation Ratio'!C10</f>
        <v>3408.4</v>
      </c>
      <c r="I10" s="9">
        <f ca="1">+'Social Allocation Ratio'!D10</f>
        <v>4090.16</v>
      </c>
      <c r="J10" s="9">
        <f ca="1">+'Social Allocation Ratio'!E10</f>
        <v>4609.07</v>
      </c>
      <c r="K10" s="9">
        <f ca="1">+'Social Allocation Ratio'!F10</f>
        <v>5999.86</v>
      </c>
      <c r="L10" s="9">
        <f ca="1">+'Social Allocation Ratio'!G10</f>
        <v>6725.34</v>
      </c>
      <c r="M10" s="446">
        <f t="shared" si="0"/>
        <v>26.116946367797205</v>
      </c>
      <c r="N10" s="446">
        <f t="shared" si="0"/>
        <v>25.997027011168267</v>
      </c>
      <c r="O10" s="446">
        <f t="shared" si="0"/>
        <v>24.926720574866518</v>
      </c>
      <c r="P10" s="446">
        <f t="shared" si="0"/>
        <v>27.886484017960424</v>
      </c>
      <c r="Q10" s="446">
        <f t="shared" si="0"/>
        <v>27.383894345862071</v>
      </c>
    </row>
    <row r="11" spans="1:17" ht="15.75" customHeight="1">
      <c r="A11" s="3">
        <v>6</v>
      </c>
      <c r="B11" s="6" t="s">
        <v>19</v>
      </c>
      <c r="C11" s="76">
        <f ca="1">+'Salaries (% Revenue Exp)'!C11</f>
        <v>940.77</v>
      </c>
      <c r="D11" s="76">
        <f ca="1">+'Salaries (% Revenue Exp)'!D11</f>
        <v>1015.19</v>
      </c>
      <c r="E11" s="76">
        <f ca="1">+'Salaries (% Revenue Exp)'!E11</f>
        <v>1492.66</v>
      </c>
      <c r="F11" s="76">
        <f ca="1">+'Salaries (% Revenue Exp)'!F11</f>
        <v>1857.47</v>
      </c>
      <c r="G11" s="76">
        <f ca="1">+'Salaries (% Revenue Exp)'!G11</f>
        <v>1795.79</v>
      </c>
      <c r="H11" s="9">
        <f ca="1">+'Social Allocation Ratio'!C11</f>
        <v>2672.06</v>
      </c>
      <c r="I11" s="9">
        <f ca="1">+'Social Allocation Ratio'!D11</f>
        <v>3263.99</v>
      </c>
      <c r="J11" s="9">
        <f ca="1">+'Social Allocation Ratio'!E11</f>
        <v>3690.32</v>
      </c>
      <c r="K11" s="9">
        <f ca="1">+'Social Allocation Ratio'!F11</f>
        <v>4629.12</v>
      </c>
      <c r="L11" s="9">
        <f ca="1">+'Social Allocation Ratio'!G11</f>
        <v>5847.32</v>
      </c>
      <c r="M11" s="446">
        <f t="shared" si="0"/>
        <v>35.207667492496427</v>
      </c>
      <c r="N11" s="446">
        <f t="shared" si="0"/>
        <v>31.10273009414858</v>
      </c>
      <c r="O11" s="446">
        <f t="shared" si="0"/>
        <v>40.447982830757226</v>
      </c>
      <c r="P11" s="446">
        <f t="shared" si="0"/>
        <v>40.125769044656437</v>
      </c>
      <c r="Q11" s="446">
        <f t="shared" si="0"/>
        <v>30.711334423291355</v>
      </c>
    </row>
    <row r="12" spans="1:17" s="24" customFormat="1" ht="15.75" customHeight="1">
      <c r="A12" s="12">
        <v>7</v>
      </c>
      <c r="B12" s="13" t="s">
        <v>20</v>
      </c>
      <c r="C12" s="76">
        <f ca="1">+'Salaries (% Revenue Exp)'!C12</f>
        <v>597.84</v>
      </c>
      <c r="D12" s="76">
        <f ca="1">+'Salaries (% Revenue Exp)'!D12</f>
        <v>693.06</v>
      </c>
      <c r="E12" s="76">
        <f ca="1">+'Salaries (% Revenue Exp)'!E12</f>
        <v>826.23</v>
      </c>
      <c r="F12" s="76">
        <f ca="1">+'Salaries (% Revenue Exp)'!F12</f>
        <v>1214.22</v>
      </c>
      <c r="G12" s="76">
        <f ca="1">+'Salaries (% Revenue Exp)'!G12</f>
        <v>1216.05</v>
      </c>
      <c r="H12" s="9">
        <f ca="1">+'Social Allocation Ratio'!C12</f>
        <v>2339.2600000000002</v>
      </c>
      <c r="I12" s="9">
        <f ca="1">+'Social Allocation Ratio'!D12</f>
        <v>2752.83</v>
      </c>
      <c r="J12" s="9">
        <f ca="1">+'Social Allocation Ratio'!E12</f>
        <v>4035.83</v>
      </c>
      <c r="K12" s="9">
        <f ca="1">+'Social Allocation Ratio'!F12</f>
        <v>4061.53</v>
      </c>
      <c r="L12" s="9">
        <f ca="1">+'Social Allocation Ratio'!G12</f>
        <v>4107.3599999999997</v>
      </c>
      <c r="M12" s="446">
        <f t="shared" si="0"/>
        <v>25.556800013679538</v>
      </c>
      <c r="N12" s="446">
        <f t="shared" si="0"/>
        <v>25.176273144364163</v>
      </c>
      <c r="O12" s="446">
        <f t="shared" si="0"/>
        <v>20.472368756860423</v>
      </c>
      <c r="P12" s="446">
        <f t="shared" si="0"/>
        <v>29.89563046438165</v>
      </c>
      <c r="Q12" s="446">
        <f t="shared" si="0"/>
        <v>29.606608624517939</v>
      </c>
    </row>
    <row r="13" spans="1:17" s="24" customFormat="1" ht="15.75" customHeight="1">
      <c r="A13" s="12">
        <v>8</v>
      </c>
      <c r="B13" s="13" t="s">
        <v>21</v>
      </c>
      <c r="C13" s="76">
        <f ca="1">+'Salaries (% Revenue Exp)'!C13</f>
        <v>1123.47</v>
      </c>
      <c r="D13" s="76">
        <f ca="1">+'Salaries (% Revenue Exp)'!D13</f>
        <v>1254.32</v>
      </c>
      <c r="E13" s="76">
        <f ca="1">+'Salaries (% Revenue Exp)'!E13</f>
        <v>1493.87</v>
      </c>
      <c r="F13" s="76">
        <f ca="1">+'Salaries (% Revenue Exp)'!F13</f>
        <v>2036.36</v>
      </c>
      <c r="G13" s="76">
        <f ca="1">+'Salaries (% Revenue Exp)'!G13</f>
        <v>2339.19</v>
      </c>
      <c r="H13" s="9">
        <f ca="1">+'Social Allocation Ratio'!C13</f>
        <v>3483.16</v>
      </c>
      <c r="I13" s="9">
        <f ca="1">+'Social Allocation Ratio'!D13</f>
        <v>3846.57</v>
      </c>
      <c r="J13" s="9">
        <f ca="1">+'Social Allocation Ratio'!E13</f>
        <v>4520.13</v>
      </c>
      <c r="K13" s="9">
        <f ca="1">+'Social Allocation Ratio'!F13</f>
        <v>5921.26</v>
      </c>
      <c r="L13" s="9">
        <f ca="1">+'Social Allocation Ratio'!G13</f>
        <v>6359.47</v>
      </c>
      <c r="M13" s="446">
        <f t="shared" si="0"/>
        <v>32.254332272993494</v>
      </c>
      <c r="N13" s="446">
        <f t="shared" si="0"/>
        <v>32.60879172873495</v>
      </c>
      <c r="O13" s="446">
        <f t="shared" si="0"/>
        <v>33.049270706815953</v>
      </c>
      <c r="P13" s="446">
        <f t="shared" si="0"/>
        <v>34.390653340674113</v>
      </c>
      <c r="Q13" s="446">
        <f t="shared" si="0"/>
        <v>36.782782212983157</v>
      </c>
    </row>
    <row r="14" spans="1:17" ht="15.75" customHeight="1">
      <c r="A14" s="3">
        <v>9</v>
      </c>
      <c r="B14" s="6" t="s">
        <v>22</v>
      </c>
      <c r="C14" s="76">
        <f ca="1">+'Salaries (% Revenue Exp)'!C14</f>
        <v>492.91</v>
      </c>
      <c r="D14" s="76">
        <f ca="1">+'Salaries (% Revenue Exp)'!D14</f>
        <v>576.44000000000005</v>
      </c>
      <c r="E14" s="76">
        <f ca="1">+'Salaries (% Revenue Exp)'!E14</f>
        <v>968.76</v>
      </c>
      <c r="F14" s="76">
        <f ca="1">+'Salaries (% Revenue Exp)'!F14</f>
        <v>1095.79</v>
      </c>
      <c r="G14" s="76">
        <f ca="1">+'Salaries (% Revenue Exp)'!G14</f>
        <v>1032.75</v>
      </c>
      <c r="H14" s="9">
        <f ca="1">+'Social Allocation Ratio'!C14</f>
        <v>1562.34</v>
      </c>
      <c r="I14" s="9">
        <f ca="1">+'Social Allocation Ratio'!D14</f>
        <v>1992.58</v>
      </c>
      <c r="J14" s="9">
        <f ca="1">+'Social Allocation Ratio'!E14</f>
        <v>2514.5300000000002</v>
      </c>
      <c r="K14" s="9">
        <f ca="1">+'Social Allocation Ratio'!F14</f>
        <v>2468.73</v>
      </c>
      <c r="L14" s="9">
        <f ca="1">+'Social Allocation Ratio'!G14</f>
        <v>3393.47</v>
      </c>
      <c r="M14" s="446">
        <f t="shared" si="0"/>
        <v>31.549470665796182</v>
      </c>
      <c r="N14" s="446">
        <f t="shared" si="0"/>
        <v>28.92932780616086</v>
      </c>
      <c r="O14" s="446">
        <f t="shared" si="0"/>
        <v>38.52648407455866</v>
      </c>
      <c r="P14" s="446">
        <f t="shared" si="0"/>
        <v>44.386789968931389</v>
      </c>
      <c r="Q14" s="446">
        <f t="shared" si="0"/>
        <v>30.433450126271932</v>
      </c>
    </row>
    <row r="15" spans="1:17" ht="15.75" customHeight="1">
      <c r="A15" s="3">
        <v>10</v>
      </c>
      <c r="B15" s="6" t="s">
        <v>23</v>
      </c>
      <c r="C15" s="76">
        <f ca="1">+'Salaries (% Revenue Exp)'!C15</f>
        <v>1308.3800000000001</v>
      </c>
      <c r="D15" s="76">
        <f ca="1">+'Salaries (% Revenue Exp)'!D15</f>
        <v>1411.17</v>
      </c>
      <c r="E15" s="76">
        <f ca="1">+'Salaries (% Revenue Exp)'!E15</f>
        <v>1972.55</v>
      </c>
      <c r="F15" s="76">
        <f ca="1">+'Salaries (% Revenue Exp)'!F15</f>
        <v>2196.15</v>
      </c>
      <c r="G15" s="76">
        <f ca="1">+'Salaries (% Revenue Exp)'!G15</f>
        <v>2415.11</v>
      </c>
      <c r="H15" s="9">
        <f ca="1">+'Social Allocation Ratio'!C15</f>
        <v>3996.31</v>
      </c>
      <c r="I15" s="9">
        <f ca="1">+'Social Allocation Ratio'!D15</f>
        <v>4379.1899999999996</v>
      </c>
      <c r="J15" s="9">
        <f ca="1">+'Social Allocation Ratio'!E15</f>
        <v>5757.5</v>
      </c>
      <c r="K15" s="9">
        <f ca="1">+'Social Allocation Ratio'!F15</f>
        <v>5624.46</v>
      </c>
      <c r="L15" s="9">
        <f ca="1">+'Social Allocation Ratio'!G15</f>
        <v>6859.45</v>
      </c>
      <c r="M15" s="446">
        <f t="shared" si="0"/>
        <v>32.739702375441347</v>
      </c>
      <c r="N15" s="446">
        <f t="shared" si="0"/>
        <v>32.2244524672371</v>
      </c>
      <c r="O15" s="446">
        <f t="shared" si="0"/>
        <v>34.26052974381242</v>
      </c>
      <c r="P15" s="446">
        <f t="shared" si="0"/>
        <v>39.046415122518432</v>
      </c>
      <c r="Q15" s="446">
        <f t="shared" si="0"/>
        <v>35.208507970755676</v>
      </c>
    </row>
    <row r="16" spans="1:17" ht="15.75" customHeight="1">
      <c r="A16" s="3">
        <v>11</v>
      </c>
      <c r="B16" s="6" t="s">
        <v>24</v>
      </c>
      <c r="C16" s="76">
        <f ca="1">+'Salaries (% Revenue Exp)'!C16</f>
        <v>2302.2800000000002</v>
      </c>
      <c r="D16" s="76">
        <f ca="1">+'Salaries (% Revenue Exp)'!D16</f>
        <v>3349.91</v>
      </c>
      <c r="E16" s="76">
        <f ca="1">+'Salaries (% Revenue Exp)'!E16</f>
        <v>4811.21</v>
      </c>
      <c r="F16" s="76">
        <f ca="1">+'Salaries (% Revenue Exp)'!F16</f>
        <v>4511.12</v>
      </c>
      <c r="G16" s="76">
        <f ca="1">+'Salaries (% Revenue Exp)'!G16</f>
        <v>5670.25</v>
      </c>
      <c r="H16" s="9">
        <f ca="1">+'Social Allocation Ratio'!C16</f>
        <v>10486.56</v>
      </c>
      <c r="I16" s="9">
        <f ca="1">+'Social Allocation Ratio'!D16</f>
        <v>11564.65</v>
      </c>
      <c r="J16" s="9">
        <f ca="1">+'Social Allocation Ratio'!E16</f>
        <v>14196.96</v>
      </c>
      <c r="K16" s="9">
        <f ca="1">+'Social Allocation Ratio'!F16</f>
        <v>16590.759999999998</v>
      </c>
      <c r="L16" s="9">
        <f ca="1">+'Social Allocation Ratio'!G16</f>
        <v>19366.91</v>
      </c>
      <c r="M16" s="446">
        <f t="shared" si="0"/>
        <v>21.954578050380679</v>
      </c>
      <c r="N16" s="446">
        <f t="shared" si="0"/>
        <v>28.966808334017891</v>
      </c>
      <c r="O16" s="446">
        <f t="shared" si="0"/>
        <v>33.889015676595555</v>
      </c>
      <c r="P16" s="446">
        <f t="shared" si="0"/>
        <v>27.190556671303789</v>
      </c>
      <c r="Q16" s="446">
        <f t="shared" si="0"/>
        <v>29.278031446420727</v>
      </c>
    </row>
    <row r="17" spans="1:17" s="79" customFormat="1" ht="15.75" customHeight="1">
      <c r="A17" s="4"/>
      <c r="B17" s="4" t="s">
        <v>25</v>
      </c>
      <c r="C17" s="77">
        <f t="shared" ref="C17:L17" si="1">SUM(C6:C16)</f>
        <v>21428.47</v>
      </c>
      <c r="D17" s="77">
        <f t="shared" si="1"/>
        <v>24014.039999999997</v>
      </c>
      <c r="E17" s="77">
        <f t="shared" si="1"/>
        <v>30760.429999999997</v>
      </c>
      <c r="F17" s="77">
        <f t="shared" si="1"/>
        <v>37389.19000000001</v>
      </c>
      <c r="G17" s="77">
        <f t="shared" si="1"/>
        <v>43164.770000000004</v>
      </c>
      <c r="H17" s="77">
        <f t="shared" si="1"/>
        <v>71021.579999999987</v>
      </c>
      <c r="I17" s="77">
        <f t="shared" si="1"/>
        <v>81327.31</v>
      </c>
      <c r="J17" s="77">
        <f t="shared" si="1"/>
        <v>98888.6</v>
      </c>
      <c r="K17" s="77">
        <f t="shared" si="1"/>
        <v>116919.89999999998</v>
      </c>
      <c r="L17" s="77">
        <f t="shared" si="1"/>
        <v>138583.21</v>
      </c>
      <c r="M17" s="447">
        <f t="shared" si="0"/>
        <v>30.171773142754642</v>
      </c>
      <c r="N17" s="447">
        <f t="shared" si="0"/>
        <v>29.527645756388594</v>
      </c>
      <c r="O17" s="447">
        <f t="shared" si="0"/>
        <v>31.106143680869174</v>
      </c>
      <c r="P17" s="447">
        <f t="shared" si="0"/>
        <v>31.9784655990982</v>
      </c>
      <c r="Q17" s="447">
        <f t="shared" si="0"/>
        <v>31.147185867609796</v>
      </c>
    </row>
    <row r="18" spans="1:17" s="79" customFormat="1" ht="15.75" customHeight="1">
      <c r="A18" s="4"/>
      <c r="B18" s="4" t="s">
        <v>26</v>
      </c>
      <c r="C18" s="76"/>
      <c r="D18" s="76"/>
      <c r="E18" s="76"/>
      <c r="F18" s="76"/>
      <c r="G18" s="76"/>
      <c r="H18" s="9"/>
      <c r="I18" s="9"/>
      <c r="J18" s="9"/>
      <c r="K18" s="9"/>
      <c r="L18" s="9"/>
      <c r="M18" s="446"/>
      <c r="N18" s="446"/>
      <c r="O18" s="446"/>
      <c r="P18" s="446"/>
      <c r="Q18" s="446"/>
    </row>
    <row r="19" spans="1:17" ht="15.75" customHeight="1">
      <c r="A19" s="3">
        <v>12</v>
      </c>
      <c r="B19" s="6" t="s">
        <v>27</v>
      </c>
      <c r="C19" s="76">
        <f ca="1">+'Salaries (% Revenue Exp)'!C19</f>
        <v>12171.08</v>
      </c>
      <c r="D19" s="76">
        <f ca="1">+'Salaries (% Revenue Exp)'!D19</f>
        <v>12882.86</v>
      </c>
      <c r="E19" s="76">
        <f ca="1">+'Salaries (% Revenue Exp)'!E19</f>
        <v>15706.57</v>
      </c>
      <c r="F19" s="76">
        <f ca="1">+'Salaries (% Revenue Exp)'!F19</f>
        <v>21128.13</v>
      </c>
      <c r="G19" s="76">
        <f ca="1">+'Salaries (% Revenue Exp)'!G19</f>
        <v>27131.07</v>
      </c>
      <c r="H19" s="9">
        <f ca="1">+'Social Allocation Ratio'!C19</f>
        <v>69678.210000000006</v>
      </c>
      <c r="I19" s="9">
        <f ca="1">+'Social Allocation Ratio'!D19</f>
        <v>75634.05</v>
      </c>
      <c r="J19" s="9">
        <f ca="1">+'Social Allocation Ratio'!E19</f>
        <v>78830.81</v>
      </c>
      <c r="K19" s="9">
        <f ca="1">+'Social Allocation Ratio'!F19</f>
        <v>92972.36</v>
      </c>
      <c r="L19" s="9">
        <f ca="1">+'Social Allocation Ratio'!G19</f>
        <v>118832.27</v>
      </c>
      <c r="M19" s="446">
        <f t="shared" ref="M19:Q36" si="2">+C19/H19*100</f>
        <v>17.467555495469817</v>
      </c>
      <c r="N19" s="446">
        <f t="shared" si="2"/>
        <v>17.033148429840793</v>
      </c>
      <c r="O19" s="446">
        <f t="shared" si="0"/>
        <v>19.924405191320503</v>
      </c>
      <c r="P19" s="446">
        <f t="shared" si="0"/>
        <v>22.725173374108177</v>
      </c>
      <c r="Q19" s="446">
        <f t="shared" si="0"/>
        <v>22.831399248705758</v>
      </c>
    </row>
    <row r="20" spans="1:17" ht="15.75" customHeight="1">
      <c r="A20" s="3">
        <v>13</v>
      </c>
      <c r="B20" s="6" t="s">
        <v>28</v>
      </c>
      <c r="C20" s="76">
        <f ca="1">+'Salaries (% Revenue Exp)'!C20</f>
        <v>6484.76</v>
      </c>
      <c r="D20" s="76">
        <f ca="1">+'Salaries (% Revenue Exp)'!D20</f>
        <v>7658.49</v>
      </c>
      <c r="E20" s="76">
        <f ca="1">+'Salaries (% Revenue Exp)'!E20</f>
        <v>9572.69</v>
      </c>
      <c r="F20" s="76">
        <f ca="1">+'Salaries (% Revenue Exp)'!F20</f>
        <v>10549.85</v>
      </c>
      <c r="G20" s="76">
        <f ca="1">+'Salaries (% Revenue Exp)'!G20</f>
        <v>13210.7</v>
      </c>
      <c r="H20" s="9">
        <f ca="1">+'Social Allocation Ratio'!C20</f>
        <v>29939.34</v>
      </c>
      <c r="I20" s="9">
        <f ca="1">+'Social Allocation Ratio'!D20</f>
        <v>35498.980000000003</v>
      </c>
      <c r="J20" s="9">
        <f ca="1">+'Social Allocation Ratio'!E20</f>
        <v>40813.040000000001</v>
      </c>
      <c r="K20" s="9">
        <f ca="1">+'Social Allocation Ratio'!F20</f>
        <v>48514.49</v>
      </c>
      <c r="L20" s="9">
        <f ca="1">+'Social Allocation Ratio'!G20</f>
        <v>62417.97</v>
      </c>
      <c r="M20" s="446">
        <f t="shared" si="2"/>
        <v>21.65966250425026</v>
      </c>
      <c r="N20" s="446">
        <f t="shared" si="2"/>
        <v>21.573831135429806</v>
      </c>
      <c r="O20" s="446">
        <f t="shared" si="0"/>
        <v>23.454979094916723</v>
      </c>
      <c r="P20" s="446">
        <f t="shared" si="0"/>
        <v>21.74577121185856</v>
      </c>
      <c r="Q20" s="446">
        <f t="shared" si="0"/>
        <v>21.164898505991143</v>
      </c>
    </row>
    <row r="21" spans="1:17" ht="15.75" customHeight="1">
      <c r="A21" s="3">
        <v>14</v>
      </c>
      <c r="B21" s="6" t="s">
        <v>29</v>
      </c>
      <c r="C21" s="76">
        <f ca="1">+'Salaries (% Revenue Exp)'!C21</f>
        <v>2290.5</v>
      </c>
      <c r="D21" s="76">
        <f ca="1">+'Salaries (% Revenue Exp)'!D21</f>
        <v>2814.95</v>
      </c>
      <c r="E21" s="76">
        <f ca="1">+'Salaries (% Revenue Exp)'!E21</f>
        <v>3464.43</v>
      </c>
      <c r="F21" s="76">
        <f ca="1">+'Salaries (% Revenue Exp)'!F21</f>
        <v>6213.52</v>
      </c>
      <c r="G21" s="76">
        <f ca="1">+'Salaries (% Revenue Exp)'!G21</f>
        <v>5729.99</v>
      </c>
      <c r="H21" s="9">
        <f ca="1">+'Social Allocation Ratio'!C21</f>
        <v>13970.54</v>
      </c>
      <c r="I21" s="9">
        <f ca="1">+'Social Allocation Ratio'!D21</f>
        <v>17226.07</v>
      </c>
      <c r="J21" s="9">
        <f ca="1">+'Social Allocation Ratio'!E21</f>
        <v>20910.439999999999</v>
      </c>
      <c r="K21" s="9">
        <f ca="1">+'Social Allocation Ratio'!F21</f>
        <v>22876.15</v>
      </c>
      <c r="L21" s="9">
        <f ca="1">+'Social Allocation Ratio'!G21</f>
        <v>30725.96</v>
      </c>
      <c r="M21" s="446">
        <f t="shared" si="2"/>
        <v>16.39521450137217</v>
      </c>
      <c r="N21" s="446">
        <f t="shared" si="2"/>
        <v>16.341220022907137</v>
      </c>
      <c r="O21" s="446">
        <f t="shared" si="0"/>
        <v>16.567944050914278</v>
      </c>
      <c r="P21" s="446">
        <f t="shared" si="0"/>
        <v>27.161563462383313</v>
      </c>
      <c r="Q21" s="446">
        <f t="shared" si="0"/>
        <v>18.648693157186951</v>
      </c>
    </row>
    <row r="22" spans="1:17" ht="15.75" customHeight="1">
      <c r="A22" s="3">
        <v>15</v>
      </c>
      <c r="B22" s="6" t="s">
        <v>30</v>
      </c>
      <c r="C22" s="76">
        <f ca="1">+'Salaries (% Revenue Exp)'!C22</f>
        <v>465.56</v>
      </c>
      <c r="D22" s="76">
        <f ca="1">+'Salaries (% Revenue Exp)'!D22</f>
        <v>668.28</v>
      </c>
      <c r="E22" s="76">
        <f ca="1">+'Salaries (% Revenue Exp)'!E22</f>
        <v>900.47</v>
      </c>
      <c r="F22" s="76">
        <f ca="1">+'Salaries (% Revenue Exp)'!F22</f>
        <v>1000</v>
      </c>
      <c r="G22" s="76">
        <f ca="1">+'Salaries (% Revenue Exp)'!G22</f>
        <v>1141.33</v>
      </c>
      <c r="H22" s="9">
        <f ca="1">+'Social Allocation Ratio'!C22</f>
        <v>2826.47</v>
      </c>
      <c r="I22" s="9">
        <f ca="1">+'Social Allocation Ratio'!D22</f>
        <v>3647.92</v>
      </c>
      <c r="J22" s="9">
        <f ca="1">+'Social Allocation Ratio'!E22</f>
        <v>4556.07</v>
      </c>
      <c r="K22" s="9">
        <f ca="1">+'Social Allocation Ratio'!F22</f>
        <v>5277.39</v>
      </c>
      <c r="L22" s="9">
        <f ca="1">+'Social Allocation Ratio'!G22</f>
        <v>5824.92</v>
      </c>
      <c r="M22" s="446">
        <f t="shared" si="2"/>
        <v>16.471429026311974</v>
      </c>
      <c r="N22" s="446">
        <f t="shared" si="2"/>
        <v>18.319480690366017</v>
      </c>
      <c r="O22" s="446">
        <f t="shared" si="2"/>
        <v>19.764182727657833</v>
      </c>
      <c r="P22" s="446">
        <f t="shared" si="2"/>
        <v>18.948760656309275</v>
      </c>
      <c r="Q22" s="446">
        <f t="shared" si="2"/>
        <v>19.593917169677866</v>
      </c>
    </row>
    <row r="23" spans="1:17" ht="15.75" customHeight="1">
      <c r="A23" s="3">
        <v>16</v>
      </c>
      <c r="B23" s="6" t="s">
        <v>31</v>
      </c>
      <c r="C23" s="76">
        <f ca="1">+'Salaries (% Revenue Exp)'!C23</f>
        <v>7353.21</v>
      </c>
      <c r="D23" s="76">
        <f ca="1">+'Salaries (% Revenue Exp)'!D23</f>
        <v>7353.21</v>
      </c>
      <c r="E23" s="76">
        <f ca="1">+'Salaries (% Revenue Exp)'!E23</f>
        <v>7353.21</v>
      </c>
      <c r="F23" s="76">
        <f ca="1">+'Salaries (% Revenue Exp)'!F23</f>
        <v>15205.33</v>
      </c>
      <c r="G23" s="76">
        <f ca="1">+'Salaries (% Revenue Exp)'!G23</f>
        <v>16791.54</v>
      </c>
      <c r="H23" s="9">
        <f ca="1">+'Social Allocation Ratio'!C23</f>
        <v>39734.589999999997</v>
      </c>
      <c r="I23" s="9">
        <f ca="1">+'Social Allocation Ratio'!D23</f>
        <v>48031.34</v>
      </c>
      <c r="J23" s="9">
        <f ca="1">+'Social Allocation Ratio'!E23</f>
        <v>55750.46</v>
      </c>
      <c r="K23" s="9">
        <f ca="1">+'Social Allocation Ratio'!F23</f>
        <v>65157.7</v>
      </c>
      <c r="L23" s="9">
        <f ca="1">+'Social Allocation Ratio'!G23</f>
        <v>73856.38</v>
      </c>
      <c r="M23" s="446">
        <f t="shared" si="2"/>
        <v>18.505815713714423</v>
      </c>
      <c r="N23" s="446">
        <f t="shared" si="2"/>
        <v>15.309191873472614</v>
      </c>
      <c r="O23" s="446">
        <f t="shared" si="2"/>
        <v>13.189505521568792</v>
      </c>
      <c r="P23" s="446">
        <f t="shared" si="2"/>
        <v>23.336198177652069</v>
      </c>
      <c r="Q23" s="446">
        <f t="shared" si="2"/>
        <v>22.735395371395132</v>
      </c>
    </row>
    <row r="24" spans="1:17" ht="15.75" customHeight="1">
      <c r="A24" s="3">
        <v>17</v>
      </c>
      <c r="B24" s="6" t="s">
        <v>32</v>
      </c>
      <c r="C24" s="76">
        <f ca="1">+'Salaries (% Revenue Exp)'!C24</f>
        <v>4216</v>
      </c>
      <c r="D24" s="76">
        <f ca="1">+'Salaries (% Revenue Exp)'!D24</f>
        <v>6259</v>
      </c>
      <c r="E24" s="76">
        <f ca="1">+'Salaries (% Revenue Exp)'!E24</f>
        <v>8429</v>
      </c>
      <c r="F24" s="76">
        <f ca="1">+'Salaries (% Revenue Exp)'!F24</f>
        <v>9523</v>
      </c>
      <c r="G24" s="76">
        <f ca="1">+'Salaries (% Revenue Exp)'!G24</f>
        <v>10280</v>
      </c>
      <c r="H24" s="9">
        <f ca="1">+'Social Allocation Ratio'!C24</f>
        <v>21240</v>
      </c>
      <c r="I24" s="9">
        <f ca="1">+'Social Allocation Ratio'!D24</f>
        <v>25369</v>
      </c>
      <c r="J24" s="9">
        <f ca="1">+'Social Allocation Ratio'!E24</f>
        <v>31305</v>
      </c>
      <c r="K24" s="9">
        <f ca="1">+'Social Allocation Ratio'!F24</f>
        <v>33063</v>
      </c>
      <c r="L24" s="9">
        <f ca="1">+'Social Allocation Ratio'!G24</f>
        <v>40276</v>
      </c>
      <c r="M24" s="446">
        <f t="shared" si="2"/>
        <v>19.849340866290017</v>
      </c>
      <c r="N24" s="446">
        <f t="shared" si="2"/>
        <v>24.671843588631795</v>
      </c>
      <c r="O24" s="446">
        <f t="shared" si="2"/>
        <v>26.925411276153969</v>
      </c>
      <c r="P24" s="446">
        <f t="shared" si="2"/>
        <v>28.802588996763756</v>
      </c>
      <c r="Q24" s="446">
        <f t="shared" si="2"/>
        <v>25.523885192173999</v>
      </c>
    </row>
    <row r="25" spans="1:17" ht="15.75" customHeight="1">
      <c r="A25" s="3">
        <v>18</v>
      </c>
      <c r="B25" s="6" t="s">
        <v>33</v>
      </c>
      <c r="C25" s="76">
        <f ca="1">+'Salaries (% Revenue Exp)'!C25</f>
        <v>3166.73</v>
      </c>
      <c r="D25" s="76">
        <f ca="1">+'Salaries (% Revenue Exp)'!D25</f>
        <v>3947.74</v>
      </c>
      <c r="E25" s="76">
        <f ca="1">+'Salaries (% Revenue Exp)'!E25</f>
        <v>5394.07</v>
      </c>
      <c r="F25" s="76">
        <f ca="1">+'Salaries (% Revenue Exp)'!F25</f>
        <v>5811.72</v>
      </c>
      <c r="G25" s="76">
        <f ca="1">+'Salaries (% Revenue Exp)'!G25</f>
        <v>6380.33</v>
      </c>
      <c r="H25" s="9">
        <f ca="1">+'Social Allocation Ratio'!C25</f>
        <v>14013.17</v>
      </c>
      <c r="I25" s="9">
        <f ca="1">+'Social Allocation Ratio'!D25</f>
        <v>16346.39</v>
      </c>
      <c r="J25" s="9">
        <f ca="1">+'Social Allocation Ratio'!E25</f>
        <v>18151.3</v>
      </c>
      <c r="K25" s="9">
        <f ca="1">+'Social Allocation Ratio'!F25</f>
        <v>20916.599999999999</v>
      </c>
      <c r="L25" s="9">
        <f ca="1">+'Social Allocation Ratio'!G25</f>
        <v>30499.64</v>
      </c>
      <c r="M25" s="446">
        <f t="shared" si="2"/>
        <v>22.598241511378227</v>
      </c>
      <c r="N25" s="446">
        <f>+D25/I25*100</f>
        <v>24.150531095856639</v>
      </c>
      <c r="O25" s="446">
        <f>+E25/J25*100</f>
        <v>29.717265430024298</v>
      </c>
      <c r="P25" s="446">
        <f>+F25/K25*100</f>
        <v>27.785204096268039</v>
      </c>
      <c r="Q25" s="446">
        <f>+G25/L25*100</f>
        <v>20.919361671154153</v>
      </c>
    </row>
    <row r="26" spans="1:17" ht="15.75" customHeight="1">
      <c r="A26" s="3">
        <v>19</v>
      </c>
      <c r="B26" s="6" t="s">
        <v>34</v>
      </c>
      <c r="C26" s="76">
        <f ca="1">+'Salaries (% Revenue Exp)'!C26</f>
        <v>8410</v>
      </c>
      <c r="D26" s="76">
        <f ca="1">+'Salaries (% Revenue Exp)'!D26</f>
        <v>9927.2800000000007</v>
      </c>
      <c r="E26" s="76">
        <f ca="1">+'Salaries (% Revenue Exp)'!E26</f>
        <v>10296</v>
      </c>
      <c r="F26" s="76">
        <f ca="1">+'Salaries (% Revenue Exp)'!F26</f>
        <v>12139</v>
      </c>
      <c r="G26" s="76">
        <f ca="1">+'Salaries (% Revenue Exp)'!G26</f>
        <v>14942</v>
      </c>
      <c r="H26" s="9">
        <f ca="1">+'Social Allocation Ratio'!C26</f>
        <v>46780</v>
      </c>
      <c r="I26" s="9">
        <f ca="1">+'Social Allocation Ratio'!D26</f>
        <v>52261</v>
      </c>
      <c r="J26" s="9">
        <f ca="1">+'Social Allocation Ratio'!E26</f>
        <v>60655</v>
      </c>
      <c r="K26" s="9">
        <f ca="1">+'Social Allocation Ratio'!F26</f>
        <v>69127</v>
      </c>
      <c r="L26" s="9">
        <f ca="1">+'Social Allocation Ratio'!G26</f>
        <v>80857</v>
      </c>
      <c r="M26" s="446">
        <f t="shared" si="2"/>
        <v>17.97776827704147</v>
      </c>
      <c r="N26" s="446">
        <f t="shared" si="2"/>
        <v>18.995579877920438</v>
      </c>
      <c r="O26" s="446">
        <f t="shared" si="2"/>
        <v>16.974692935454623</v>
      </c>
      <c r="P26" s="446">
        <f t="shared" si="2"/>
        <v>17.560432247891562</v>
      </c>
      <c r="Q26" s="446">
        <f t="shared" si="2"/>
        <v>18.479537949713691</v>
      </c>
    </row>
    <row r="27" spans="1:17" ht="15.75" customHeight="1">
      <c r="A27" s="3">
        <v>20</v>
      </c>
      <c r="B27" s="6" t="s">
        <v>35</v>
      </c>
      <c r="C27" s="76">
        <f ca="1">+'Salaries (% Revenue Exp)'!C27</f>
        <v>7367.12</v>
      </c>
      <c r="D27" s="76">
        <f ca="1">+'Salaries (% Revenue Exp)'!D27</f>
        <v>8800.9500000000007</v>
      </c>
      <c r="E27" s="76">
        <f ca="1">+'Salaries (% Revenue Exp)'!E27</f>
        <v>9799.3799999999992</v>
      </c>
      <c r="F27" s="76">
        <f ca="1">+'Salaries (% Revenue Exp)'!F27</f>
        <v>10698.32</v>
      </c>
      <c r="G27" s="76">
        <f ca="1">+'Salaries (% Revenue Exp)'!G27</f>
        <v>16325.89</v>
      </c>
      <c r="H27" s="9">
        <f ca="1">+'Social Allocation Ratio'!C27</f>
        <v>27259.37</v>
      </c>
      <c r="I27" s="9">
        <f ca="1">+'Social Allocation Ratio'!D27</f>
        <v>30903.15</v>
      </c>
      <c r="J27" s="9">
        <f ca="1">+'Social Allocation Ratio'!E27</f>
        <v>34068.44</v>
      </c>
      <c r="K27" s="9">
        <f ca="1">+'Social Allocation Ratio'!F27</f>
        <v>38790.239999999998</v>
      </c>
      <c r="L27" s="9">
        <f ca="1">+'Social Allocation Ratio'!G27</f>
        <v>50025.24</v>
      </c>
      <c r="M27" s="446">
        <f t="shared" si="2"/>
        <v>27.026009772052696</v>
      </c>
      <c r="N27" s="446">
        <f t="shared" si="2"/>
        <v>28.479135622096781</v>
      </c>
      <c r="O27" s="446">
        <f t="shared" si="2"/>
        <v>28.763806032797508</v>
      </c>
      <c r="P27" s="446">
        <f t="shared" si="2"/>
        <v>27.579927321924281</v>
      </c>
      <c r="Q27" s="446">
        <f t="shared" si="2"/>
        <v>32.635305697683812</v>
      </c>
    </row>
    <row r="28" spans="1:17" ht="15.75" customHeight="1">
      <c r="A28" s="3">
        <v>21</v>
      </c>
      <c r="B28" s="6" t="s">
        <v>36</v>
      </c>
      <c r="C28" s="76">
        <f ca="1">+'Salaries (% Revenue Exp)'!C28</f>
        <v>6533.63</v>
      </c>
      <c r="D28" s="76">
        <f ca="1">+'Salaries (% Revenue Exp)'!D28</f>
        <v>8076.89</v>
      </c>
      <c r="E28" s="76">
        <f ca="1">+'Salaries (% Revenue Exp)'!E28</f>
        <v>10171.89</v>
      </c>
      <c r="F28" s="76">
        <f ca="1">+'Salaries (% Revenue Exp)'!F28</f>
        <v>12620.26</v>
      </c>
      <c r="G28" s="76">
        <f ca="1">+'Salaries (% Revenue Exp)'!G28</f>
        <v>15973.39</v>
      </c>
      <c r="H28" s="9">
        <f ca="1">+'Social Allocation Ratio'!C28</f>
        <v>33590.75</v>
      </c>
      <c r="I28" s="9">
        <f ca="1">+'Social Allocation Ratio'!D28</f>
        <v>38089.22</v>
      </c>
      <c r="J28" s="9">
        <f ca="1">+'Social Allocation Ratio'!E28</f>
        <v>47638.66</v>
      </c>
      <c r="K28" s="9">
        <f ca="1">+'Social Allocation Ratio'!F28</f>
        <v>57528.05</v>
      </c>
      <c r="L28" s="9">
        <f ca="1">+'Social Allocation Ratio'!G28</f>
        <v>65845.64</v>
      </c>
      <c r="M28" s="446">
        <f t="shared" si="2"/>
        <v>19.450682107425408</v>
      </c>
      <c r="N28" s="446">
        <f t="shared" si="2"/>
        <v>21.20518613928035</v>
      </c>
      <c r="O28" s="446">
        <f t="shared" si="2"/>
        <v>21.352174893248463</v>
      </c>
      <c r="P28" s="446">
        <f t="shared" si="2"/>
        <v>21.937576538749358</v>
      </c>
      <c r="Q28" s="446">
        <f t="shared" si="2"/>
        <v>24.258842347040748</v>
      </c>
    </row>
    <row r="29" spans="1:17" ht="15.75" customHeight="1">
      <c r="A29" s="3">
        <v>22</v>
      </c>
      <c r="B29" s="6" t="s">
        <v>37</v>
      </c>
      <c r="C29" s="76">
        <f ca="1">+'Salaries (% Revenue Exp)'!C29</f>
        <v>22879.17</v>
      </c>
      <c r="D29" s="76">
        <f ca="1">+'Salaries (% Revenue Exp)'!D29</f>
        <v>24478</v>
      </c>
      <c r="E29" s="76">
        <f ca="1">+'Salaries (% Revenue Exp)'!E29</f>
        <v>35467.910000000003</v>
      </c>
      <c r="F29" s="76">
        <f ca="1">+'Salaries (% Revenue Exp)'!F29</f>
        <v>42054.14</v>
      </c>
      <c r="G29" s="76">
        <f ca="1">+'Salaries (% Revenue Exp)'!G29</f>
        <v>48761</v>
      </c>
      <c r="H29" s="9">
        <f ca="1">+'Social Allocation Ratio'!C29</f>
        <v>77494.820000000007</v>
      </c>
      <c r="I29" s="9">
        <f ca="1">+'Social Allocation Ratio'!D29</f>
        <v>95847.679999999993</v>
      </c>
      <c r="J29" s="9">
        <f ca="1">+'Social Allocation Ratio'!E29</f>
        <v>113605.54</v>
      </c>
      <c r="K29" s="9">
        <f ca="1">+'Social Allocation Ratio'!F29</f>
        <v>125381.73</v>
      </c>
      <c r="L29" s="9">
        <f ca="1">+'Social Allocation Ratio'!G29</f>
        <v>146731</v>
      </c>
      <c r="M29" s="446">
        <f t="shared" si="2"/>
        <v>29.523482988927512</v>
      </c>
      <c r="N29" s="446">
        <f t="shared" si="2"/>
        <v>25.538437654411666</v>
      </c>
      <c r="O29" s="446">
        <f t="shared" si="2"/>
        <v>31.220229224736755</v>
      </c>
      <c r="P29" s="446">
        <f t="shared" si="2"/>
        <v>33.54088350830699</v>
      </c>
      <c r="Q29" s="446">
        <f t="shared" si="2"/>
        <v>33.23155979309076</v>
      </c>
    </row>
    <row r="30" spans="1:17" ht="15.75" customHeight="1">
      <c r="A30" s="3">
        <v>23</v>
      </c>
      <c r="B30" s="6" t="s">
        <v>104</v>
      </c>
      <c r="C30" s="76">
        <f ca="1">+'Salaries (% Revenue Exp)'!C30</f>
        <v>4745.4399999999996</v>
      </c>
      <c r="D30" s="76">
        <f ca="1">+'Salaries (% Revenue Exp)'!D30</f>
        <v>7033.66</v>
      </c>
      <c r="E30" s="76">
        <f ca="1">+'Salaries (% Revenue Exp)'!E30</f>
        <v>8465.8799999999992</v>
      </c>
      <c r="F30" s="76">
        <f ca="1">+'Salaries (% Revenue Exp)'!F30</f>
        <v>9657.5499999999993</v>
      </c>
      <c r="G30" s="76">
        <f ca="1">+'Salaries (% Revenue Exp)'!G30</f>
        <v>10537.72</v>
      </c>
      <c r="H30" s="9">
        <f ca="1">+'Social Allocation Ratio'!C30</f>
        <v>20999.360000000001</v>
      </c>
      <c r="I30" s="9">
        <f ca="1">+'Social Allocation Ratio'!D30</f>
        <v>25180.26</v>
      </c>
      <c r="J30" s="9">
        <f ca="1">+'Social Allocation Ratio'!E30</f>
        <v>29042.63</v>
      </c>
      <c r="K30" s="9">
        <f ca="1">+'Social Allocation Ratio'!F30</f>
        <v>33967.74</v>
      </c>
      <c r="L30" s="9">
        <f ca="1">+'Social Allocation Ratio'!G30</f>
        <v>42640.36</v>
      </c>
      <c r="M30" s="446">
        <f t="shared" si="2"/>
        <v>22.598022034957253</v>
      </c>
      <c r="N30" s="446">
        <f t="shared" si="2"/>
        <v>27.933230236701291</v>
      </c>
      <c r="O30" s="446">
        <f t="shared" si="2"/>
        <v>29.149839391267246</v>
      </c>
      <c r="P30" s="446">
        <f t="shared" si="2"/>
        <v>28.431535333230883</v>
      </c>
      <c r="Q30" s="446">
        <f t="shared" si="2"/>
        <v>24.713018370388991</v>
      </c>
    </row>
    <row r="31" spans="1:17" ht="15.75" customHeight="1">
      <c r="A31" s="3">
        <v>24</v>
      </c>
      <c r="B31" s="6" t="s">
        <v>39</v>
      </c>
      <c r="C31" s="76">
        <f ca="1">+'Salaries (% Revenue Exp)'!C31</f>
        <v>6257.99</v>
      </c>
      <c r="D31" s="76">
        <f ca="1">+'Salaries (% Revenue Exp)'!D31</f>
        <v>6711.03</v>
      </c>
      <c r="E31" s="76">
        <f ca="1">+'Salaries (% Revenue Exp)'!E31</f>
        <v>8095.43</v>
      </c>
      <c r="F31" s="76">
        <f ca="1">+'Salaries (% Revenue Exp)'!F31</f>
        <v>9589.2800000000007</v>
      </c>
      <c r="G31" s="76">
        <f ca="1">+'Salaries (% Revenue Exp)'!G31</f>
        <v>12417.08</v>
      </c>
      <c r="H31" s="9">
        <f ca="1">+'Social Allocation Ratio'!C31</f>
        <v>25287.31</v>
      </c>
      <c r="I31" s="9">
        <f ca="1">+'Social Allocation Ratio'!D31</f>
        <v>27481.99</v>
      </c>
      <c r="J31" s="9">
        <f ca="1">+'Social Allocation Ratio'!E31</f>
        <v>29603.19</v>
      </c>
      <c r="K31" s="9">
        <f ca="1">+'Social Allocation Ratio'!F31</f>
        <v>35349.67</v>
      </c>
      <c r="L31" s="9">
        <f ca="1">+'Social Allocation Ratio'!G31</f>
        <v>40908.44</v>
      </c>
      <c r="M31" s="446">
        <f t="shared" si="2"/>
        <v>24.747551242105228</v>
      </c>
      <c r="N31" s="446">
        <f t="shared" si="2"/>
        <v>24.419738163066064</v>
      </c>
      <c r="O31" s="446">
        <f t="shared" si="2"/>
        <v>27.346478538292669</v>
      </c>
      <c r="P31" s="446">
        <f t="shared" si="2"/>
        <v>27.126929332013571</v>
      </c>
      <c r="Q31" s="446">
        <f t="shared" si="2"/>
        <v>30.353345177669937</v>
      </c>
    </row>
    <row r="32" spans="1:17" ht="15.75" customHeight="1">
      <c r="A32" s="3">
        <v>25</v>
      </c>
      <c r="B32" s="6" t="s">
        <v>40</v>
      </c>
      <c r="C32" s="76">
        <f ca="1">+'Salaries (% Revenue Exp)'!C32</f>
        <v>7691.85</v>
      </c>
      <c r="D32" s="76">
        <f ca="1">+'Salaries (% Revenue Exp)'!D32</f>
        <v>11269.49</v>
      </c>
      <c r="E32" s="76">
        <f ca="1">+'Salaries (% Revenue Exp)'!E32</f>
        <v>13802.12</v>
      </c>
      <c r="F32" s="76">
        <f ca="1">+'Salaries (% Revenue Exp)'!F32</f>
        <v>13351.22</v>
      </c>
      <c r="G32" s="76">
        <f ca="1">+'Salaries (% Revenue Exp)'!G32</f>
        <v>15472.98</v>
      </c>
      <c r="H32" s="9">
        <f ca="1">+'Social Allocation Ratio'!C32</f>
        <v>35970.89</v>
      </c>
      <c r="I32" s="9">
        <f ca="1">+'Social Allocation Ratio'!D32</f>
        <v>40535.61</v>
      </c>
      <c r="J32" s="9">
        <f ca="1">+'Social Allocation Ratio'!E32</f>
        <v>45804.74</v>
      </c>
      <c r="K32" s="9">
        <f ca="1">+'Social Allocation Ratio'!F32</f>
        <v>50386.080000000002</v>
      </c>
      <c r="L32" s="9">
        <f ca="1">+'Social Allocation Ratio'!G32</f>
        <v>60524.46</v>
      </c>
      <c r="M32" s="446">
        <f t="shared" si="2"/>
        <v>21.383540968822288</v>
      </c>
      <c r="N32" s="446">
        <f t="shared" si="2"/>
        <v>27.801456546478516</v>
      </c>
      <c r="O32" s="446">
        <f t="shared" si="2"/>
        <v>30.132514669879146</v>
      </c>
      <c r="P32" s="446">
        <f t="shared" si="2"/>
        <v>26.497834322495418</v>
      </c>
      <c r="Q32" s="446">
        <f t="shared" si="2"/>
        <v>25.564837753199281</v>
      </c>
    </row>
    <row r="33" spans="1:17" ht="15.75" customHeight="1">
      <c r="A33" s="3">
        <v>26</v>
      </c>
      <c r="B33" s="6" t="s">
        <v>41</v>
      </c>
      <c r="C33" s="76">
        <f ca="1">+'Salaries (% Revenue Exp)'!C33</f>
        <v>11005.84</v>
      </c>
      <c r="D33" s="76">
        <f ca="1">+'Salaries (% Revenue Exp)'!D33</f>
        <v>14265.63</v>
      </c>
      <c r="E33" s="76">
        <f ca="1">+'Salaries (% Revenue Exp)'!E33</f>
        <v>17275.68</v>
      </c>
      <c r="F33" s="76">
        <f ca="1">+'Salaries (% Revenue Exp)'!F33</f>
        <v>21545.200000000001</v>
      </c>
      <c r="G33" s="76">
        <f ca="1">+'Salaries (% Revenue Exp)'!G33</f>
        <v>23866.080000000002</v>
      </c>
      <c r="H33" s="9">
        <f ca="1">+'Social Allocation Ratio'!C33</f>
        <v>52218.8</v>
      </c>
      <c r="I33" s="9">
        <f ca="1">+'Social Allocation Ratio'!D33</f>
        <v>65524.5</v>
      </c>
      <c r="J33" s="9">
        <f ca="1">+'Social Allocation Ratio'!E33</f>
        <v>70238.490000000005</v>
      </c>
      <c r="K33" s="9">
        <f ca="1">+'Social Allocation Ratio'!F33</f>
        <v>87604.49</v>
      </c>
      <c r="L33" s="9">
        <f ca="1">+'Social Allocation Ratio'!G33</f>
        <v>98407.2</v>
      </c>
      <c r="M33" s="446">
        <f t="shared" si="2"/>
        <v>21.076393942411546</v>
      </c>
      <c r="N33" s="446">
        <f t="shared" si="2"/>
        <v>21.771444268937572</v>
      </c>
      <c r="O33" s="446">
        <f t="shared" si="2"/>
        <v>24.595745153405204</v>
      </c>
      <c r="P33" s="446">
        <f t="shared" si="2"/>
        <v>24.593716600598896</v>
      </c>
      <c r="Q33" s="446">
        <f t="shared" si="2"/>
        <v>24.252371777674806</v>
      </c>
    </row>
    <row r="34" spans="1:17" ht="15.75" customHeight="1">
      <c r="A34" s="3">
        <v>27</v>
      </c>
      <c r="B34" s="6" t="s">
        <v>42</v>
      </c>
      <c r="C34" s="76">
        <f ca="1">+'Salaries (% Revenue Exp)'!C34</f>
        <v>19603.89</v>
      </c>
      <c r="D34" s="76">
        <f ca="1">+'Salaries (% Revenue Exp)'!D34</f>
        <v>14156.88</v>
      </c>
      <c r="E34" s="76">
        <f ca="1">+'Salaries (% Revenue Exp)'!E34</f>
        <v>19711.009999999998</v>
      </c>
      <c r="F34" s="76">
        <f ca="1">+'Salaries (% Revenue Exp)'!F34</f>
        <v>22659.18</v>
      </c>
      <c r="G34" s="76">
        <f ca="1">+'Salaries (% Revenue Exp)'!G34</f>
        <v>24661.57</v>
      </c>
      <c r="H34" s="9">
        <f ca="1">+'Social Allocation Ratio'!C34</f>
        <v>82915.55</v>
      </c>
      <c r="I34" s="9">
        <f ca="1">+'Social Allocation Ratio'!D34</f>
        <v>99121.62</v>
      </c>
      <c r="J34" s="9">
        <f ca="1">+'Social Allocation Ratio'!E34</f>
        <v>115406.69</v>
      </c>
      <c r="K34" s="9">
        <f ca="1">+'Social Allocation Ratio'!F34</f>
        <v>128916.63</v>
      </c>
      <c r="L34" s="9">
        <f ca="1">+'Social Allocation Ratio'!G34</f>
        <v>156845.41</v>
      </c>
      <c r="M34" s="446">
        <f t="shared" si="2"/>
        <v>23.643200823006058</v>
      </c>
      <c r="N34" s="446">
        <f t="shared" si="2"/>
        <v>14.282333157993179</v>
      </c>
      <c r="O34" s="446">
        <f t="shared" si="2"/>
        <v>17.079607776637555</v>
      </c>
      <c r="P34" s="446">
        <f t="shared" si="2"/>
        <v>17.576615212482672</v>
      </c>
      <c r="Q34" s="446">
        <f t="shared" si="2"/>
        <v>15.723488497368205</v>
      </c>
    </row>
    <row r="35" spans="1:17" ht="15.75" customHeight="1">
      <c r="A35" s="3">
        <v>28</v>
      </c>
      <c r="B35" s="6" t="s">
        <v>43</v>
      </c>
      <c r="C35" s="76">
        <f ca="1">+'Salaries (% Revenue Exp)'!C35</f>
        <v>12178.02</v>
      </c>
      <c r="D35" s="76">
        <f ca="1">+'Salaries (% Revenue Exp)'!D35</f>
        <v>13761.44</v>
      </c>
      <c r="E35" s="76">
        <f ca="1">+'Salaries (% Revenue Exp)'!E35</f>
        <v>21880.75</v>
      </c>
      <c r="F35" s="76">
        <f ca="1">+'Salaries (% Revenue Exp)'!F35</f>
        <v>24954.06</v>
      </c>
      <c r="G35" s="76">
        <f ca="1">+'Salaries (% Revenue Exp)'!G35</f>
        <v>26883.7</v>
      </c>
      <c r="H35" s="9">
        <f ca="1">+'Social Allocation Ratio'!C35</f>
        <v>42064.28</v>
      </c>
      <c r="I35" s="9">
        <f ca="1">+'Social Allocation Ratio'!D35</f>
        <v>56078.26</v>
      </c>
      <c r="J35" s="9">
        <f ca="1">+'Social Allocation Ratio'!E35</f>
        <v>62263.38</v>
      </c>
      <c r="K35" s="9">
        <f ca="1">+'Social Allocation Ratio'!F35</f>
        <v>67207.649999999994</v>
      </c>
      <c r="L35" s="9">
        <f ca="1">+'Social Allocation Ratio'!G35</f>
        <v>81572.63</v>
      </c>
      <c r="M35" s="446">
        <f t="shared" si="2"/>
        <v>28.950976933398127</v>
      </c>
      <c r="N35" s="446">
        <f t="shared" si="2"/>
        <v>24.539705761198725</v>
      </c>
      <c r="O35" s="446">
        <f t="shared" si="2"/>
        <v>35.142245730957747</v>
      </c>
      <c r="P35" s="446">
        <f t="shared" si="2"/>
        <v>37.129791028253486</v>
      </c>
      <c r="Q35" s="446">
        <f t="shared" si="2"/>
        <v>32.956765032585075</v>
      </c>
    </row>
    <row r="36" spans="1:17" s="79" customFormat="1" ht="15.75" customHeight="1">
      <c r="A36" s="4"/>
      <c r="B36" s="4" t="s">
        <v>44</v>
      </c>
      <c r="C36" s="77">
        <f t="shared" ref="C36:L36" si="3">SUM(C19:C35)</f>
        <v>142820.79</v>
      </c>
      <c r="D36" s="77">
        <f t="shared" si="3"/>
        <v>160065.78</v>
      </c>
      <c r="E36" s="77">
        <f t="shared" si="3"/>
        <v>205786.49000000002</v>
      </c>
      <c r="F36" s="77">
        <f t="shared" si="3"/>
        <v>248699.75999999998</v>
      </c>
      <c r="G36" s="77">
        <f t="shared" si="3"/>
        <v>290506.37</v>
      </c>
      <c r="H36" s="77">
        <f t="shared" si="3"/>
        <v>635983.45000000007</v>
      </c>
      <c r="I36" s="77">
        <f t="shared" si="3"/>
        <v>752777.04</v>
      </c>
      <c r="J36" s="77">
        <f t="shared" si="3"/>
        <v>858643.87999999977</v>
      </c>
      <c r="K36" s="77">
        <f t="shared" si="3"/>
        <v>983036.97</v>
      </c>
      <c r="L36" s="77">
        <f t="shared" si="3"/>
        <v>1186790.52</v>
      </c>
      <c r="M36" s="447">
        <f t="shared" si="2"/>
        <v>22.456683424702323</v>
      </c>
      <c r="N36" s="447">
        <f t="shared" si="2"/>
        <v>21.263371688381994</v>
      </c>
      <c r="O36" s="447">
        <f t="shared" si="2"/>
        <v>23.966453938971775</v>
      </c>
      <c r="P36" s="447">
        <f t="shared" si="2"/>
        <v>25.299125830435447</v>
      </c>
      <c r="Q36" s="447">
        <f t="shared" si="2"/>
        <v>24.478319054992113</v>
      </c>
    </row>
    <row r="37" spans="1:17" ht="15.75" customHeight="1">
      <c r="A37" s="6"/>
      <c r="B37" s="4" t="s">
        <v>61</v>
      </c>
      <c r="C37" s="76"/>
      <c r="D37" s="76"/>
      <c r="E37" s="76"/>
      <c r="F37" s="76"/>
      <c r="G37" s="76"/>
      <c r="H37" s="9"/>
      <c r="I37" s="9"/>
      <c r="J37" s="9"/>
      <c r="K37" s="9"/>
      <c r="L37" s="9"/>
      <c r="M37" s="446"/>
      <c r="N37" s="446"/>
      <c r="O37" s="446"/>
      <c r="P37" s="446"/>
      <c r="Q37" s="446"/>
    </row>
    <row r="38" spans="1:17" ht="15.75" customHeight="1">
      <c r="A38" s="3">
        <v>29</v>
      </c>
      <c r="B38" s="6" t="s">
        <v>46</v>
      </c>
      <c r="C38" s="76">
        <f ca="1">+'Salaries (% Revenue Exp)'!C38</f>
        <v>1713.62</v>
      </c>
      <c r="D38" s="76">
        <f ca="1">+'Salaries (% Revenue Exp)'!D38</f>
        <v>2905.18</v>
      </c>
      <c r="E38" s="76">
        <f ca="1">+'Salaries (% Revenue Exp)'!E38</f>
        <v>3836.32</v>
      </c>
      <c r="F38" s="76">
        <f ca="1">+'Salaries (% Revenue Exp)'!F38</f>
        <v>3431.86</v>
      </c>
      <c r="G38" s="76">
        <f ca="1">+'Salaries (% Revenue Exp)'!G38</f>
        <v>3994.34</v>
      </c>
      <c r="H38" s="9">
        <f ca="1">+'Social Allocation Ratio'!C38</f>
        <v>18159.63</v>
      </c>
      <c r="I38" s="9">
        <f ca="1">+'Social Allocation Ratio'!D38</f>
        <v>20361.310000000001</v>
      </c>
      <c r="J38" s="9">
        <f ca="1">+'Social Allocation Ratio'!E38</f>
        <v>24925.919999999998</v>
      </c>
      <c r="K38" s="9">
        <f ca="1">+'Social Allocation Ratio'!F38</f>
        <v>25524.32</v>
      </c>
      <c r="L38" s="9">
        <f ca="1">+'Social Allocation Ratio'!G38</f>
        <v>27920</v>
      </c>
      <c r="M38" s="446">
        <f t="shared" ref="M38:Q40" si="4">+C38/H38*100</f>
        <v>9.4364257421544373</v>
      </c>
      <c r="N38" s="446">
        <f t="shared" si="4"/>
        <v>14.268138936050773</v>
      </c>
      <c r="O38" s="446">
        <f t="shared" si="4"/>
        <v>15.390886274207736</v>
      </c>
      <c r="P38" s="446">
        <f t="shared" si="4"/>
        <v>13.445451240228929</v>
      </c>
      <c r="Q38" s="446">
        <f t="shared" si="4"/>
        <v>14.306375358166189</v>
      </c>
    </row>
    <row r="39" spans="1:17" ht="15.75" customHeight="1">
      <c r="A39" s="3">
        <v>30</v>
      </c>
      <c r="B39" s="6" t="s">
        <v>47</v>
      </c>
      <c r="C39" s="76">
        <f ca="1">+'Salaries (% Revenue Exp)'!C39</f>
        <v>445</v>
      </c>
      <c r="D39" s="76">
        <f ca="1">+'Salaries (% Revenue Exp)'!D39</f>
        <v>688</v>
      </c>
      <c r="E39" s="76">
        <f ca="1">+'Salaries (% Revenue Exp)'!E39</f>
        <v>868</v>
      </c>
      <c r="F39" s="76">
        <f ca="1">+'Salaries (% Revenue Exp)'!F39</f>
        <v>1011</v>
      </c>
      <c r="G39" s="76">
        <f ca="1">+'Salaries (% Revenue Exp)'!G39</f>
        <v>1005</v>
      </c>
      <c r="H39" s="9">
        <f ca="1">+'Social Allocation Ratio'!C39</f>
        <v>2595</v>
      </c>
      <c r="I39" s="9">
        <f ca="1">+'Social Allocation Ratio'!D39</f>
        <v>2957</v>
      </c>
      <c r="J39" s="9">
        <f ca="1">+'Social Allocation Ratio'!E39</f>
        <v>3586</v>
      </c>
      <c r="K39" s="9">
        <f ca="1">+'Social Allocation Ratio'!F39</f>
        <v>4091</v>
      </c>
      <c r="L39" s="9">
        <f ca="1">+'Social Allocation Ratio'!G39</f>
        <v>4828</v>
      </c>
      <c r="M39" s="446">
        <f t="shared" si="4"/>
        <v>17.148362235067438</v>
      </c>
      <c r="N39" s="446">
        <f t="shared" si="4"/>
        <v>23.266824484274604</v>
      </c>
      <c r="O39" s="446">
        <f t="shared" si="4"/>
        <v>24.205242610150584</v>
      </c>
      <c r="P39" s="446">
        <f t="shared" si="4"/>
        <v>24.71278416035199</v>
      </c>
      <c r="Q39" s="446">
        <f t="shared" si="4"/>
        <v>20.816072908036453</v>
      </c>
    </row>
    <row r="40" spans="1:17" ht="15.75" customHeight="1">
      <c r="A40" s="6"/>
      <c r="B40" s="4" t="s">
        <v>62</v>
      </c>
      <c r="C40" s="77">
        <f t="shared" ref="C40:I40" si="5">SUM(C38:C39)</f>
        <v>2158.62</v>
      </c>
      <c r="D40" s="77">
        <f t="shared" si="5"/>
        <v>3593.18</v>
      </c>
      <c r="E40" s="77">
        <f>SUM(E38:E39)</f>
        <v>4704.32</v>
      </c>
      <c r="F40" s="77">
        <f>SUM(F38:F39)</f>
        <v>4442.8600000000006</v>
      </c>
      <c r="G40" s="77">
        <f>SUM(G38:G39)</f>
        <v>4999.34</v>
      </c>
      <c r="H40" s="77">
        <f t="shared" si="5"/>
        <v>20754.63</v>
      </c>
      <c r="I40" s="77">
        <f t="shared" si="5"/>
        <v>23318.31</v>
      </c>
      <c r="J40" s="77">
        <f>SUM(J38:J39)</f>
        <v>28511.919999999998</v>
      </c>
      <c r="K40" s="77">
        <f>SUM(K38:K39)</f>
        <v>29615.32</v>
      </c>
      <c r="L40" s="77">
        <f>SUM(L38:L39)</f>
        <v>32748</v>
      </c>
      <c r="M40" s="447">
        <f t="shared" si="4"/>
        <v>10.400667224614459</v>
      </c>
      <c r="N40" s="447">
        <f t="shared" si="4"/>
        <v>15.409264221978351</v>
      </c>
      <c r="O40" s="447">
        <f t="shared" si="4"/>
        <v>16.499485127623814</v>
      </c>
      <c r="P40" s="447">
        <f t="shared" si="4"/>
        <v>15.001897666478028</v>
      </c>
      <c r="Q40" s="447">
        <f t="shared" si="4"/>
        <v>15.266092585806767</v>
      </c>
    </row>
    <row r="41" spans="1:17" ht="6.75" customHeight="1">
      <c r="A41" s="6"/>
      <c r="B41" s="6"/>
      <c r="C41" s="76"/>
      <c r="D41" s="76"/>
      <c r="E41" s="76"/>
      <c r="F41" s="76"/>
      <c r="G41" s="76"/>
      <c r="H41" s="9"/>
      <c r="I41" s="9"/>
      <c r="J41" s="9"/>
      <c r="K41" s="9"/>
      <c r="L41" s="9"/>
      <c r="M41" s="446"/>
      <c r="N41" s="446"/>
      <c r="O41" s="446"/>
      <c r="P41" s="446"/>
      <c r="Q41" s="446"/>
    </row>
    <row r="42" spans="1:17" s="79" customFormat="1">
      <c r="A42" s="4"/>
      <c r="B42" s="4" t="s">
        <v>89</v>
      </c>
      <c r="C42" s="77">
        <f t="shared" ref="C42:I42" si="6">+C17+C36+C40</f>
        <v>166407.88</v>
      </c>
      <c r="D42" s="77">
        <f t="shared" si="6"/>
        <v>187673</v>
      </c>
      <c r="E42" s="77">
        <f>+E17+E36+E40</f>
        <v>241251.24000000002</v>
      </c>
      <c r="F42" s="77">
        <f>+F17+F36+F40</f>
        <v>290531.81</v>
      </c>
      <c r="G42" s="77">
        <f>+G17+G36+G40</f>
        <v>338670.48000000004</v>
      </c>
      <c r="H42" s="77">
        <f t="shared" si="6"/>
        <v>727759.66</v>
      </c>
      <c r="I42" s="77">
        <f t="shared" si="6"/>
        <v>857422.66000000015</v>
      </c>
      <c r="J42" s="77">
        <f>+J17+J36+J40</f>
        <v>986044.39999999979</v>
      </c>
      <c r="K42" s="77">
        <f>+K17+K36+K40</f>
        <v>1129572.19</v>
      </c>
      <c r="L42" s="77">
        <f>+L17+L36+L40</f>
        <v>1358121.73</v>
      </c>
      <c r="M42" s="447">
        <f>+C42/H42*100</f>
        <v>22.865774121088272</v>
      </c>
      <c r="N42" s="447">
        <f>+D42/I42*100</f>
        <v>21.888038275078941</v>
      </c>
      <c r="O42" s="447">
        <f>+E42/J42*100</f>
        <v>24.466569659540692</v>
      </c>
      <c r="P42" s="447">
        <f>+F42/K42*100</f>
        <v>25.720517251757059</v>
      </c>
      <c r="Q42" s="447">
        <f>+G42/L42*100</f>
        <v>24.936680749523095</v>
      </c>
    </row>
    <row r="43" spans="1:17">
      <c r="B43" s="29" t="s">
        <v>199</v>
      </c>
      <c r="O43" s="79"/>
      <c r="P43" s="79"/>
      <c r="Q43" s="79"/>
    </row>
    <row r="44" spans="1:17">
      <c r="B44" s="79"/>
      <c r="C44" s="75"/>
      <c r="D44" s="75"/>
      <c r="E44" s="75"/>
      <c r="F44" s="75"/>
      <c r="G44" s="75"/>
      <c r="H44" s="75"/>
      <c r="I44" s="75"/>
      <c r="J44" s="75"/>
      <c r="K44" s="75"/>
      <c r="L44" s="75"/>
    </row>
  </sheetData>
  <mergeCells count="6">
    <mergeCell ref="A1:O1"/>
    <mergeCell ref="A2:A4"/>
    <mergeCell ref="C2:G2"/>
    <mergeCell ref="H2:L2"/>
    <mergeCell ref="M2:Q2"/>
    <mergeCell ref="B2:B3"/>
  </mergeCells>
  <phoneticPr fontId="63" type="noConversion"/>
  <printOptions horizontalCentered="1"/>
  <pageMargins left="0.35433070866141736" right="0.15748031496062992" top="0.78740157480314965" bottom="0.39370078740157483" header="0" footer="0"/>
  <pageSetup paperSize="9" scale="69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2.75"/>
  <cols>
    <col min="1" max="1" width="5.5703125" style="26" customWidth="1"/>
    <col min="2" max="2" width="37" customWidth="1"/>
    <col min="3" max="3" width="10.85546875" style="14" customWidth="1"/>
    <col min="4" max="4" width="13.140625" style="14" customWidth="1"/>
    <col min="5" max="5" width="12" style="14" customWidth="1"/>
    <col min="6" max="6" width="12.42578125" style="14" customWidth="1"/>
    <col min="7" max="7" width="11.7109375" style="14" customWidth="1"/>
    <col min="8" max="8" width="10.85546875" customWidth="1"/>
    <col min="9" max="11" width="12.7109375" customWidth="1"/>
    <col min="12" max="12" width="10.140625" customWidth="1"/>
    <col min="13" max="17" width="10.7109375" customWidth="1"/>
  </cols>
  <sheetData>
    <row r="1" spans="1:17" ht="21" customHeight="1">
      <c r="A1" s="641" t="s">
        <v>285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81"/>
      <c r="P1" s="81"/>
      <c r="Q1" s="81"/>
    </row>
    <row r="2" spans="1:17" ht="37.5" customHeight="1">
      <c r="A2" s="592" t="s">
        <v>99</v>
      </c>
      <c r="B2" s="592" t="s">
        <v>100</v>
      </c>
      <c r="C2" s="623" t="s">
        <v>101</v>
      </c>
      <c r="D2" s="623"/>
      <c r="E2" s="623"/>
      <c r="F2" s="623"/>
      <c r="G2" s="623"/>
      <c r="H2" s="642" t="s">
        <v>317</v>
      </c>
      <c r="I2" s="642"/>
      <c r="J2" s="642"/>
      <c r="K2" s="642"/>
      <c r="L2" s="642"/>
      <c r="M2" s="609" t="s">
        <v>102</v>
      </c>
      <c r="N2" s="609"/>
      <c r="O2" s="609"/>
      <c r="P2" s="609"/>
      <c r="Q2" s="609"/>
    </row>
    <row r="3" spans="1:17" s="83" customFormat="1" ht="28.5" customHeight="1">
      <c r="A3" s="592"/>
      <c r="B3" s="592"/>
      <c r="C3" s="1" t="s">
        <v>55</v>
      </c>
      <c r="D3" s="1" t="s">
        <v>56</v>
      </c>
      <c r="E3" s="1" t="s">
        <v>7</v>
      </c>
      <c r="F3" s="1" t="s">
        <v>8</v>
      </c>
      <c r="G3" s="1" t="s">
        <v>8</v>
      </c>
      <c r="H3" s="82" t="s">
        <v>55</v>
      </c>
      <c r="I3" s="82" t="s">
        <v>56</v>
      </c>
      <c r="J3" s="1" t="s">
        <v>7</v>
      </c>
      <c r="K3" s="1" t="s">
        <v>8</v>
      </c>
      <c r="L3" s="1" t="s">
        <v>9</v>
      </c>
      <c r="M3" s="461" t="s">
        <v>55</v>
      </c>
      <c r="N3" s="461" t="s">
        <v>56</v>
      </c>
      <c r="O3" s="437" t="s">
        <v>7</v>
      </c>
      <c r="P3" s="437" t="s">
        <v>8</v>
      </c>
      <c r="Q3" s="437" t="s">
        <v>9</v>
      </c>
    </row>
    <row r="4" spans="1:17" ht="19.5" customHeight="1">
      <c r="A4" s="592"/>
      <c r="B4" s="127">
        <v>41129</v>
      </c>
      <c r="C4" s="15" t="s">
        <v>103</v>
      </c>
      <c r="D4" s="15" t="s">
        <v>103</v>
      </c>
      <c r="E4" s="31" t="s">
        <v>10</v>
      </c>
      <c r="F4" s="31" t="s">
        <v>58</v>
      </c>
      <c r="G4" s="15" t="s">
        <v>12</v>
      </c>
      <c r="H4" s="643" t="s">
        <v>316</v>
      </c>
      <c r="I4" s="643"/>
      <c r="J4" s="643"/>
      <c r="K4" s="643"/>
      <c r="L4" s="643"/>
      <c r="M4" s="462" t="s">
        <v>103</v>
      </c>
      <c r="N4" s="462" t="s">
        <v>103</v>
      </c>
      <c r="O4" s="462" t="s">
        <v>103</v>
      </c>
      <c r="P4" s="443" t="s">
        <v>58</v>
      </c>
      <c r="Q4" s="462" t="s">
        <v>12</v>
      </c>
    </row>
    <row r="5" spans="1:17" ht="18.75" customHeight="1">
      <c r="A5" s="3"/>
      <c r="B5" s="4" t="s">
        <v>13</v>
      </c>
      <c r="C5" s="15"/>
      <c r="D5" s="15"/>
      <c r="E5" s="15"/>
      <c r="F5" s="15"/>
      <c r="G5" s="15"/>
      <c r="H5" s="84"/>
      <c r="I5" s="84"/>
      <c r="J5" s="84"/>
      <c r="K5" s="84"/>
      <c r="L5" s="84"/>
      <c r="M5" s="462"/>
      <c r="N5" s="462"/>
      <c r="O5" s="462"/>
      <c r="P5" s="462"/>
      <c r="Q5" s="462"/>
    </row>
    <row r="6" spans="1:17" ht="18.75" customHeight="1">
      <c r="A6" s="3">
        <v>1</v>
      </c>
      <c r="B6" s="6" t="s">
        <v>14</v>
      </c>
      <c r="C6" s="9">
        <f ca="1">+'Social Allocation Ratio'!C6</f>
        <v>3015.68</v>
      </c>
      <c r="D6" s="9">
        <f ca="1">+'Social Allocation Ratio'!D6</f>
        <v>4256.76</v>
      </c>
      <c r="E6" s="9">
        <f ca="1">+'Social Allocation Ratio'!E6</f>
        <v>4931.3500000000004</v>
      </c>
      <c r="F6" s="9">
        <f ca="1">+'Social Allocation Ratio'!F6</f>
        <v>5317.07</v>
      </c>
      <c r="G6" s="9">
        <f ca="1">+'Social Allocation Ratio'!G6</f>
        <v>6683.22</v>
      </c>
      <c r="H6" s="85">
        <f ca="1">+'Outlay % GSDP'!H7</f>
        <v>4810</v>
      </c>
      <c r="I6" s="85">
        <f ca="1">+'Outlay % GSDP'!I7</f>
        <v>5687</v>
      </c>
      <c r="J6" s="85">
        <f ca="1">+'Outlay % GSDP'!J7</f>
        <v>7085</v>
      </c>
      <c r="K6" s="85">
        <f ca="1">+'Outlay % GSDP'!K7</f>
        <v>8233</v>
      </c>
      <c r="L6" s="85">
        <f ca="1">+'Outlay % GSDP'!L7</f>
        <v>9357</v>
      </c>
      <c r="M6" s="439">
        <f>+C6/H6*100</f>
        <v>62.696049896049885</v>
      </c>
      <c r="N6" s="439">
        <f>+D6/I6*100</f>
        <v>74.850712150518731</v>
      </c>
      <c r="O6" s="439">
        <f>+E6/J6*100</f>
        <v>69.602681721947775</v>
      </c>
      <c r="P6" s="439">
        <f>F6/K6*100</f>
        <v>64.582412243410658</v>
      </c>
      <c r="Q6" s="439">
        <f>G6/L6*100</f>
        <v>71.4248156460404</v>
      </c>
    </row>
    <row r="7" spans="1:17" ht="18.75" customHeight="1">
      <c r="A7" s="3">
        <v>2</v>
      </c>
      <c r="B7" s="6" t="s">
        <v>15</v>
      </c>
      <c r="C7" s="9">
        <f ca="1">+'Social Allocation Ratio'!C7</f>
        <v>14432.3</v>
      </c>
      <c r="D7" s="9">
        <f ca="1">+'Social Allocation Ratio'!D7</f>
        <v>16634.099999999999</v>
      </c>
      <c r="E7" s="9">
        <f ca="1">+'Social Allocation Ratio'!E7</f>
        <v>19862.009999999998</v>
      </c>
      <c r="F7" s="9">
        <f ca="1">+'Social Allocation Ratio'!F7</f>
        <v>26443.31</v>
      </c>
      <c r="G7" s="9">
        <f ca="1">+'Social Allocation Ratio'!G7</f>
        <v>33375.68</v>
      </c>
      <c r="H7" s="85">
        <f ca="1">+'Outlay % GSDP'!H8</f>
        <v>71076</v>
      </c>
      <c r="I7" s="85">
        <f ca="1">+'Outlay % GSDP'!I8</f>
        <v>81074</v>
      </c>
      <c r="J7" s="85">
        <f ca="1">+'Outlay % GSDP'!J8</f>
        <v>92737</v>
      </c>
      <c r="K7" s="85">
        <f ca="1">+'Outlay % GSDP'!K8</f>
        <v>104015</v>
      </c>
      <c r="L7" s="85">
        <f ca="1">+'Outlay % GSDP'!L8</f>
        <v>115408</v>
      </c>
      <c r="M7" s="439">
        <f t="shared" ref="M7:O17" si="0">+C7/H7*100</f>
        <v>20.305447689796836</v>
      </c>
      <c r="N7" s="439">
        <f t="shared" si="0"/>
        <v>20.517181833880159</v>
      </c>
      <c r="O7" s="439">
        <f t="shared" si="0"/>
        <v>21.417567961008011</v>
      </c>
      <c r="P7" s="439">
        <f t="shared" ref="P7:Q16" si="1">F7/K7*100</f>
        <v>25.422592895255491</v>
      </c>
      <c r="Q7" s="439">
        <f t="shared" si="1"/>
        <v>28.91972826840427</v>
      </c>
    </row>
    <row r="8" spans="1:17" ht="18.75" customHeight="1">
      <c r="A8" s="3">
        <v>3</v>
      </c>
      <c r="B8" s="6" t="s">
        <v>16</v>
      </c>
      <c r="C8" s="9">
        <f ca="1">+'Social Allocation Ratio'!C8</f>
        <v>9719.19</v>
      </c>
      <c r="D8" s="9">
        <f ca="1">+'Social Allocation Ratio'!D8</f>
        <v>11534.8</v>
      </c>
      <c r="E8" s="9">
        <f ca="1">+'Social Allocation Ratio'!E8</f>
        <v>13164.12</v>
      </c>
      <c r="F8" s="9">
        <f ca="1">+'Social Allocation Ratio'!F8</f>
        <v>15261.82</v>
      </c>
      <c r="G8" s="9">
        <f ca="1">+'Social Allocation Ratio'!G8</f>
        <v>15747.62</v>
      </c>
      <c r="H8" s="85">
        <f ca="1">+'Outlay % GSDP'!H9</f>
        <v>33963</v>
      </c>
      <c r="I8" s="85">
        <f ca="1">+'Outlay % GSDP'!I9</f>
        <v>41483</v>
      </c>
      <c r="J8" s="85">
        <f ca="1">+'Outlay % GSDP'!J9</f>
        <v>48189</v>
      </c>
      <c r="K8" s="85">
        <f ca="1">+'Outlay % GSDP'!K9</f>
        <v>56119</v>
      </c>
      <c r="L8" s="85">
        <f ca="1">+'Outlay % GSDP'!L9</f>
        <v>63331</v>
      </c>
      <c r="M8" s="439">
        <f t="shared" si="0"/>
        <v>28.61699496510909</v>
      </c>
      <c r="N8" s="439">
        <f t="shared" si="0"/>
        <v>27.806089241375986</v>
      </c>
      <c r="O8" s="439">
        <f t="shared" si="0"/>
        <v>27.317686608977155</v>
      </c>
      <c r="P8" s="439">
        <f t="shared" si="1"/>
        <v>27.195459648247471</v>
      </c>
      <c r="Q8" s="439">
        <f t="shared" si="1"/>
        <v>24.8655792581832</v>
      </c>
    </row>
    <row r="9" spans="1:17" ht="18.75" customHeight="1">
      <c r="A9" s="3">
        <v>4</v>
      </c>
      <c r="B9" s="6" t="s">
        <v>60</v>
      </c>
      <c r="C9" s="9">
        <f ca="1">+'Social Allocation Ratio'!C9</f>
        <v>15906.32</v>
      </c>
      <c r="D9" s="9">
        <f ca="1">+'Social Allocation Ratio'!D9</f>
        <v>17011.68</v>
      </c>
      <c r="E9" s="9">
        <f ca="1">+'Social Allocation Ratio'!E9</f>
        <v>21606.78</v>
      </c>
      <c r="F9" s="9">
        <f ca="1">+'Social Allocation Ratio'!F9</f>
        <v>24601.98</v>
      </c>
      <c r="G9" s="9">
        <f ca="1">+'Social Allocation Ratio'!G9</f>
        <v>30117.37</v>
      </c>
      <c r="H9" s="85">
        <f ca="1">+'Outlay % GSDP'!H10</f>
        <v>37099</v>
      </c>
      <c r="I9" s="85">
        <f ca="1">+'Outlay % GSDP'!I10</f>
        <v>42315</v>
      </c>
      <c r="J9" s="85">
        <f ca="1">+'Outlay % GSDP'!J10</f>
        <v>48382</v>
      </c>
      <c r="K9" s="85">
        <f ca="1">+'Outlay % GSDP'!K10</f>
        <v>55446</v>
      </c>
      <c r="L9" s="85">
        <f ca="1">+'Outlay % GSDP'!L10</f>
        <v>63589</v>
      </c>
      <c r="M9" s="439">
        <f t="shared" si="0"/>
        <v>42.875333566942501</v>
      </c>
      <c r="N9" s="439">
        <f t="shared" si="0"/>
        <v>40.202481389578168</v>
      </c>
      <c r="O9" s="439">
        <f t="shared" si="0"/>
        <v>44.658716051424079</v>
      </c>
      <c r="P9" s="439">
        <f t="shared" si="1"/>
        <v>44.371063737690726</v>
      </c>
      <c r="Q9" s="439">
        <f t="shared" si="1"/>
        <v>47.36254698139615</v>
      </c>
    </row>
    <row r="10" spans="1:17" ht="18.75" customHeight="1">
      <c r="A10" s="3">
        <v>5</v>
      </c>
      <c r="B10" s="6" t="s">
        <v>18</v>
      </c>
      <c r="C10" s="9">
        <f ca="1">+'Social Allocation Ratio'!C10</f>
        <v>3408.4</v>
      </c>
      <c r="D10" s="9">
        <f ca="1">+'Social Allocation Ratio'!D10</f>
        <v>4090.16</v>
      </c>
      <c r="E10" s="9">
        <f ca="1">+'Social Allocation Ratio'!E10</f>
        <v>4609.07</v>
      </c>
      <c r="F10" s="9">
        <f ca="1">+'Social Allocation Ratio'!F10</f>
        <v>5999.86</v>
      </c>
      <c r="G10" s="9">
        <f ca="1">+'Social Allocation Ratio'!G10</f>
        <v>6725.34</v>
      </c>
      <c r="H10" s="85">
        <f ca="1">+'Outlay % GSDP'!H11</f>
        <v>6783</v>
      </c>
      <c r="I10" s="85">
        <f ca="1">+'Outlay % GSDP'!I11</f>
        <v>7399</v>
      </c>
      <c r="J10" s="85">
        <f ca="1">+'Outlay % GSDP'!J11</f>
        <v>8314</v>
      </c>
      <c r="K10" s="85">
        <f ca="1">+'Outlay % GSDP'!K11</f>
        <v>9198</v>
      </c>
      <c r="L10" s="85">
        <f ca="1">+'Outlay % GSDP'!L11</f>
        <v>10188</v>
      </c>
      <c r="M10" s="439">
        <f t="shared" si="0"/>
        <v>50.24915229249595</v>
      </c>
      <c r="N10" s="439">
        <f t="shared" si="0"/>
        <v>55.279902689552642</v>
      </c>
      <c r="O10" s="439">
        <f t="shared" si="0"/>
        <v>55.437454895357227</v>
      </c>
      <c r="P10" s="439">
        <f t="shared" si="1"/>
        <v>65.230050010871921</v>
      </c>
      <c r="Q10" s="439">
        <f t="shared" si="1"/>
        <v>66.012367491166074</v>
      </c>
    </row>
    <row r="11" spans="1:17" ht="18.75" customHeight="1">
      <c r="A11" s="3">
        <v>6</v>
      </c>
      <c r="B11" s="6" t="s">
        <v>19</v>
      </c>
      <c r="C11" s="9">
        <f ca="1">+'Social Allocation Ratio'!C11</f>
        <v>2672.06</v>
      </c>
      <c r="D11" s="9">
        <f ca="1">+'Social Allocation Ratio'!D11</f>
        <v>3263.99</v>
      </c>
      <c r="E11" s="9">
        <f ca="1">+'Social Allocation Ratio'!E11</f>
        <v>3690.32</v>
      </c>
      <c r="F11" s="9">
        <f ca="1">+'Social Allocation Ratio'!F11</f>
        <v>4629.12</v>
      </c>
      <c r="G11" s="9">
        <f ca="1">+'Social Allocation Ratio'!G11</f>
        <v>5847.32</v>
      </c>
      <c r="H11" s="85">
        <f ca="1">+'Outlay % GSDP'!H12</f>
        <v>9735</v>
      </c>
      <c r="I11" s="85">
        <f ca="1">+'Outlay % GSDP'!I12</f>
        <v>11617</v>
      </c>
      <c r="J11" s="85">
        <f ca="1">+'Outlay % GSDP'!J12</f>
        <v>12709</v>
      </c>
      <c r="K11" s="85">
        <f ca="1">+'Outlay % GSDP'!K12</f>
        <v>14086</v>
      </c>
      <c r="L11" s="85">
        <f ca="1">+'Outlay % GSDP'!L12</f>
        <v>15895</v>
      </c>
      <c r="M11" s="439">
        <f t="shared" si="0"/>
        <v>27.447971237801745</v>
      </c>
      <c r="N11" s="439">
        <f t="shared" si="0"/>
        <v>28.096668675217352</v>
      </c>
      <c r="O11" s="439">
        <f t="shared" si="0"/>
        <v>29.037060350932407</v>
      </c>
      <c r="P11" s="439">
        <f t="shared" si="1"/>
        <v>32.863268493539685</v>
      </c>
      <c r="Q11" s="439">
        <f t="shared" si="1"/>
        <v>36.787165775401064</v>
      </c>
    </row>
    <row r="12" spans="1:17" ht="18.75" customHeight="1">
      <c r="A12" s="3">
        <v>7</v>
      </c>
      <c r="B12" s="6" t="s">
        <v>20</v>
      </c>
      <c r="C12" s="9">
        <f ca="1">+'Social Allocation Ratio'!C12</f>
        <v>2339.2600000000002</v>
      </c>
      <c r="D12" s="9">
        <f ca="1">+'Social Allocation Ratio'!D12</f>
        <v>2752.83</v>
      </c>
      <c r="E12" s="9">
        <f ca="1">+'Social Allocation Ratio'!E12</f>
        <v>4035.83</v>
      </c>
      <c r="F12" s="9">
        <f ca="1">+'Social Allocation Ratio'!F12</f>
        <v>4061.53</v>
      </c>
      <c r="G12" s="9">
        <f ca="1">+'Social Allocation Ratio'!G12</f>
        <v>4107.3599999999997</v>
      </c>
      <c r="H12" s="85">
        <f ca="1">+'Outlay % GSDP'!H13</f>
        <v>3816</v>
      </c>
      <c r="I12" s="85">
        <f ca="1">+'Outlay % GSDP'!I13</f>
        <v>4577</v>
      </c>
      <c r="J12" s="85">
        <f ca="1">+'Outlay % GSDP'!J13</f>
        <v>5260</v>
      </c>
      <c r="K12" s="85">
        <f ca="1">+'Outlay % GSDP'!K13</f>
        <v>6058</v>
      </c>
      <c r="L12" s="85">
        <f ca="1">+'Outlay % GSDP'!L13</f>
        <v>6666.8290000000006</v>
      </c>
      <c r="M12" s="439">
        <f t="shared" si="0"/>
        <v>61.301362683438164</v>
      </c>
      <c r="N12" s="439">
        <f t="shared" si="0"/>
        <v>60.144854708324225</v>
      </c>
      <c r="O12" s="439">
        <f t="shared" si="0"/>
        <v>76.726806083650189</v>
      </c>
      <c r="P12" s="439">
        <f t="shared" si="1"/>
        <v>67.044073951799277</v>
      </c>
      <c r="Q12" s="439">
        <f t="shared" si="1"/>
        <v>61.608899823289285</v>
      </c>
    </row>
    <row r="13" spans="1:17" ht="18.75" customHeight="1">
      <c r="A13" s="3">
        <v>8</v>
      </c>
      <c r="B13" s="6" t="s">
        <v>21</v>
      </c>
      <c r="C13" s="9">
        <f ca="1">+'Social Allocation Ratio'!C13</f>
        <v>3483.16</v>
      </c>
      <c r="D13" s="9">
        <f ca="1">+'Social Allocation Ratio'!D13</f>
        <v>3846.57</v>
      </c>
      <c r="E13" s="9">
        <f ca="1">+'Social Allocation Ratio'!E13</f>
        <v>4520.13</v>
      </c>
      <c r="F13" s="9">
        <f ca="1">+'Social Allocation Ratio'!F13</f>
        <v>5921.26</v>
      </c>
      <c r="G13" s="9">
        <f ca="1">+'Social Allocation Ratio'!G13</f>
        <v>6359.47</v>
      </c>
      <c r="H13" s="85">
        <f ca="1">+'Outlay % GSDP'!H14</f>
        <v>8075</v>
      </c>
      <c r="I13" s="85">
        <f ca="1">+'Outlay % GSDP'!I14</f>
        <v>9436</v>
      </c>
      <c r="J13" s="85">
        <f ca="1">+'Outlay % GSDP'!J14</f>
        <v>10507</v>
      </c>
      <c r="K13" s="85">
        <f ca="1">+'Outlay % GSDP'!K14</f>
        <v>11190</v>
      </c>
      <c r="L13" s="85">
        <f ca="1">+'Outlay % GSDP'!L14</f>
        <v>12134</v>
      </c>
      <c r="M13" s="439">
        <f t="shared" si="0"/>
        <v>43.13510835913312</v>
      </c>
      <c r="N13" s="439">
        <f t="shared" si="0"/>
        <v>40.764836795252229</v>
      </c>
      <c r="O13" s="439">
        <f t="shared" si="0"/>
        <v>43.020177024840585</v>
      </c>
      <c r="P13" s="439">
        <f t="shared" si="1"/>
        <v>52.915638963360145</v>
      </c>
      <c r="Q13" s="439">
        <f t="shared" si="1"/>
        <v>52.410334597000166</v>
      </c>
    </row>
    <row r="14" spans="1:17" ht="18.75" customHeight="1">
      <c r="A14" s="3">
        <v>9</v>
      </c>
      <c r="B14" s="6" t="s">
        <v>22</v>
      </c>
      <c r="C14" s="9">
        <f ca="1">+'Social Allocation Ratio'!C14</f>
        <v>1562.34</v>
      </c>
      <c r="D14" s="9">
        <f ca="1">+'Social Allocation Ratio'!D14</f>
        <v>1992.58</v>
      </c>
      <c r="E14" s="9">
        <f ca="1">+'Social Allocation Ratio'!E14</f>
        <v>2514.5300000000002</v>
      </c>
      <c r="F14" s="9">
        <f ca="1">+'Social Allocation Ratio'!F14</f>
        <v>2468.73</v>
      </c>
      <c r="G14" s="9">
        <f ca="1">+'Social Allocation Ratio'!G14</f>
        <v>3393.47</v>
      </c>
      <c r="H14" s="85">
        <f ca="1">+'Outlay % GSDP'!H15</f>
        <v>2506</v>
      </c>
      <c r="I14" s="85">
        <f ca="1">+'Outlay % GSDP'!I15</f>
        <v>3229</v>
      </c>
      <c r="J14" s="85">
        <f ca="1">+'Outlay % GSDP'!J15</f>
        <v>6133</v>
      </c>
      <c r="K14" s="85">
        <f ca="1">+'Outlay % GSDP'!K15</f>
        <v>7145</v>
      </c>
      <c r="L14" s="85">
        <f ca="1">+'Outlay % GSDP'!L15</f>
        <v>8400</v>
      </c>
      <c r="M14" s="439">
        <f t="shared" si="0"/>
        <v>62.343974461292895</v>
      </c>
      <c r="N14" s="439">
        <f t="shared" si="0"/>
        <v>61.708888200681322</v>
      </c>
      <c r="O14" s="439">
        <f t="shared" si="0"/>
        <v>41</v>
      </c>
      <c r="P14" s="439">
        <f t="shared" si="1"/>
        <v>34.551854443666905</v>
      </c>
      <c r="Q14" s="439">
        <f t="shared" si="1"/>
        <v>40.398452380952378</v>
      </c>
    </row>
    <row r="15" spans="1:17" ht="18.75" customHeight="1">
      <c r="A15" s="3">
        <v>10</v>
      </c>
      <c r="B15" s="6" t="s">
        <v>23</v>
      </c>
      <c r="C15" s="9">
        <f ca="1">+'Social Allocation Ratio'!C15</f>
        <v>3996.31</v>
      </c>
      <c r="D15" s="9">
        <f ca="1">+'Social Allocation Ratio'!D15</f>
        <v>4379.1899999999996</v>
      </c>
      <c r="E15" s="9">
        <f ca="1">+'Social Allocation Ratio'!E15</f>
        <v>5757.5</v>
      </c>
      <c r="F15" s="9">
        <f ca="1">+'Social Allocation Ratio'!F15</f>
        <v>5624.46</v>
      </c>
      <c r="G15" s="9">
        <f ca="1">+'Social Allocation Ratio'!G15</f>
        <v>6859.45</v>
      </c>
      <c r="H15" s="85">
        <f ca="1">+'Outlay % GSDP'!H16</f>
        <v>11797</v>
      </c>
      <c r="I15" s="85">
        <f ca="1">+'Outlay % GSDP'!I16</f>
        <v>13573</v>
      </c>
      <c r="J15" s="85">
        <f ca="1">+'Outlay % GSDP'!J16</f>
        <v>15348</v>
      </c>
      <c r="K15" s="85">
        <f ca="1">+'Outlay % GSDP'!K16</f>
        <v>17387</v>
      </c>
      <c r="L15" s="85">
        <f ca="1">+'Outlay % GSDP'!L16</f>
        <v>19731</v>
      </c>
      <c r="M15" s="439">
        <f t="shared" si="0"/>
        <v>33.875646350767141</v>
      </c>
      <c r="N15" s="439">
        <f t="shared" si="0"/>
        <v>32.263979960215124</v>
      </c>
      <c r="O15" s="439">
        <f t="shared" si="0"/>
        <v>37.513031013812878</v>
      </c>
      <c r="P15" s="439">
        <f t="shared" si="1"/>
        <v>32.348651291194571</v>
      </c>
      <c r="Q15" s="439">
        <f t="shared" si="1"/>
        <v>34.764837058435958</v>
      </c>
    </row>
    <row r="16" spans="1:17" ht="18.75" customHeight="1">
      <c r="A16" s="3">
        <v>11</v>
      </c>
      <c r="B16" s="6" t="s">
        <v>24</v>
      </c>
      <c r="C16" s="9">
        <f ca="1">+'Social Allocation Ratio'!C16</f>
        <v>10486.56</v>
      </c>
      <c r="D16" s="9">
        <f ca="1">+'Social Allocation Ratio'!D16</f>
        <v>11564.65</v>
      </c>
      <c r="E16" s="9">
        <f ca="1">+'Social Allocation Ratio'!E16</f>
        <v>14196.96</v>
      </c>
      <c r="F16" s="9">
        <f ca="1">+'Social Allocation Ratio'!F16</f>
        <v>16590.759999999998</v>
      </c>
      <c r="G16" s="9">
        <f ca="1">+'Social Allocation Ratio'!G16</f>
        <v>19366.91</v>
      </c>
      <c r="H16" s="85">
        <f ca="1">+'Outlay % GSDP'!H17</f>
        <v>45856</v>
      </c>
      <c r="I16" s="85">
        <f ca="1">+'Outlay % GSDP'!I17</f>
        <v>56025</v>
      </c>
      <c r="J16" s="85">
        <f ca="1">+'Outlay % GSDP'!J17</f>
        <v>70855</v>
      </c>
      <c r="K16" s="85">
        <f ca="1">+'Outlay % GSDP'!K17</f>
        <v>82460</v>
      </c>
      <c r="L16" s="85">
        <f ca="1">+'Outlay % GSDP'!L17</f>
        <v>95201</v>
      </c>
      <c r="M16" s="439">
        <f t="shared" si="0"/>
        <v>22.868457780879272</v>
      </c>
      <c r="N16" s="439">
        <f t="shared" si="0"/>
        <v>20.641945560017849</v>
      </c>
      <c r="O16" s="439">
        <f t="shared" si="0"/>
        <v>20.036638204784417</v>
      </c>
      <c r="P16" s="439">
        <f t="shared" si="1"/>
        <v>20.119767159835071</v>
      </c>
      <c r="Q16" s="439">
        <f t="shared" si="1"/>
        <v>20.343179168286046</v>
      </c>
    </row>
    <row r="17" spans="1:17" s="87" customFormat="1" ht="18.75" customHeight="1">
      <c r="A17" s="84"/>
      <c r="B17" s="4" t="s">
        <v>25</v>
      </c>
      <c r="C17" s="16">
        <f t="shared" ref="C17:L17" si="2">SUM(C6:C16)</f>
        <v>71021.579999999987</v>
      </c>
      <c r="D17" s="16">
        <f t="shared" si="2"/>
        <v>81327.31</v>
      </c>
      <c r="E17" s="16">
        <f t="shared" si="2"/>
        <v>98888.6</v>
      </c>
      <c r="F17" s="16">
        <f t="shared" si="2"/>
        <v>116919.89999999998</v>
      </c>
      <c r="G17" s="16">
        <f t="shared" si="2"/>
        <v>138583.21</v>
      </c>
      <c r="H17" s="86">
        <f t="shared" si="2"/>
        <v>235516</v>
      </c>
      <c r="I17" s="86">
        <f t="shared" si="2"/>
        <v>276415</v>
      </c>
      <c r="J17" s="86">
        <f t="shared" si="2"/>
        <v>325519</v>
      </c>
      <c r="K17" s="86">
        <f t="shared" si="2"/>
        <v>371337</v>
      </c>
      <c r="L17" s="86">
        <f t="shared" si="2"/>
        <v>419900.82900000003</v>
      </c>
      <c r="M17" s="440">
        <f t="shared" si="0"/>
        <v>30.155734642232368</v>
      </c>
      <c r="N17" s="440">
        <f t="shared" si="0"/>
        <v>29.422176799377748</v>
      </c>
      <c r="O17" s="440">
        <f t="shared" si="0"/>
        <v>30.378749013114444</v>
      </c>
      <c r="P17" s="440">
        <f>F17/K17*100</f>
        <v>31.486197173995585</v>
      </c>
      <c r="Q17" s="440">
        <f>G17/L17*100</f>
        <v>33.003795284243168</v>
      </c>
    </row>
    <row r="18" spans="1:17" ht="18.75" customHeight="1">
      <c r="A18" s="3"/>
      <c r="B18" s="4" t="s">
        <v>26</v>
      </c>
      <c r="C18" s="78"/>
      <c r="D18" s="78"/>
      <c r="E18" s="78"/>
      <c r="F18" s="78"/>
      <c r="G18" s="78"/>
      <c r="H18" s="86"/>
      <c r="I18" s="86"/>
      <c r="J18" s="86"/>
      <c r="K18" s="86"/>
      <c r="L18" s="86"/>
      <c r="M18" s="439"/>
      <c r="N18" s="439"/>
      <c r="O18" s="439"/>
      <c r="P18" s="439"/>
      <c r="Q18" s="439"/>
    </row>
    <row r="19" spans="1:17" ht="18.75" customHeight="1">
      <c r="A19" s="3">
        <v>12</v>
      </c>
      <c r="B19" s="6" t="s">
        <v>27</v>
      </c>
      <c r="C19" s="9">
        <f ca="1">+'Social Allocation Ratio'!C19</f>
        <v>69678.210000000006</v>
      </c>
      <c r="D19" s="9">
        <f ca="1">+'Social Allocation Ratio'!D19</f>
        <v>75634.05</v>
      </c>
      <c r="E19" s="9">
        <f ca="1">+'Social Allocation Ratio'!E19</f>
        <v>78830.81</v>
      </c>
      <c r="F19" s="9">
        <f ca="1">+'Social Allocation Ratio'!F19</f>
        <v>92972.36</v>
      </c>
      <c r="G19" s="9">
        <f ca="1">+'Social Allocation Ratio'!G19</f>
        <v>118832.27</v>
      </c>
      <c r="H19" s="85">
        <f ca="1">+'Outlay % GSDP'!H20</f>
        <v>364813</v>
      </c>
      <c r="I19" s="85">
        <f ca="1">+'Outlay % GSDP'!I20</f>
        <v>426765</v>
      </c>
      <c r="J19" s="85">
        <f ca="1">+'Outlay % GSDP'!J20</f>
        <v>490411</v>
      </c>
      <c r="K19" s="85">
        <f ca="1">+'Outlay % GSDP'!K20</f>
        <v>588963</v>
      </c>
      <c r="L19" s="85">
        <f ca="1">+'Outlay % GSDP'!L20</f>
        <v>675798</v>
      </c>
      <c r="M19" s="439">
        <f t="shared" ref="M19:O36" si="3">+C19/H19*100</f>
        <v>19.099705876709439</v>
      </c>
      <c r="N19" s="439">
        <f t="shared" si="3"/>
        <v>17.722645952690591</v>
      </c>
      <c r="O19" s="439">
        <f t="shared" si="3"/>
        <v>16.074437563594618</v>
      </c>
      <c r="P19" s="439">
        <f t="shared" ref="P19:Q35" si="4">F19/K19*100</f>
        <v>15.785772620690944</v>
      </c>
      <c r="Q19" s="439">
        <f t="shared" si="4"/>
        <v>17.583992553988026</v>
      </c>
    </row>
    <row r="20" spans="1:17" ht="18.75" customHeight="1">
      <c r="A20" s="3">
        <v>13</v>
      </c>
      <c r="B20" s="6" t="s">
        <v>28</v>
      </c>
      <c r="C20" s="9">
        <f ca="1">+'Social Allocation Ratio'!C20</f>
        <v>29939.34</v>
      </c>
      <c r="D20" s="9">
        <f ca="1">+'Social Allocation Ratio'!D20</f>
        <v>35498.980000000003</v>
      </c>
      <c r="E20" s="9">
        <f ca="1">+'Social Allocation Ratio'!E20</f>
        <v>40813.040000000001</v>
      </c>
      <c r="F20" s="9">
        <f ca="1">+'Social Allocation Ratio'!F20</f>
        <v>48514.49</v>
      </c>
      <c r="G20" s="9">
        <f ca="1">+'Social Allocation Ratio'!G20</f>
        <v>62417.97</v>
      </c>
      <c r="H20" s="85">
        <f ca="1">+'Outlay % GSDP'!H21</f>
        <v>113680</v>
      </c>
      <c r="I20" s="85">
        <f ca="1">+'Outlay % GSDP'!I21</f>
        <v>142279</v>
      </c>
      <c r="J20" s="85">
        <f ca="1">+'Outlay % GSDP'!J21</f>
        <v>163800</v>
      </c>
      <c r="K20" s="85">
        <f ca="1">+'Outlay % GSDP'!K21</f>
        <v>201856</v>
      </c>
      <c r="L20" s="85">
        <f ca="1">+'Outlay % GSDP'!L21</f>
        <v>252694</v>
      </c>
      <c r="M20" s="439">
        <f t="shared" si="3"/>
        <v>26.336505981703027</v>
      </c>
      <c r="N20" s="439">
        <f t="shared" si="3"/>
        <v>24.950259701009987</v>
      </c>
      <c r="O20" s="439">
        <f t="shared" si="3"/>
        <v>24.916385836385839</v>
      </c>
      <c r="P20" s="439">
        <f t="shared" si="4"/>
        <v>24.034207553899808</v>
      </c>
      <c r="Q20" s="439">
        <f t="shared" si="4"/>
        <v>24.701009917132978</v>
      </c>
    </row>
    <row r="21" spans="1:17" ht="18.75" customHeight="1">
      <c r="A21" s="3">
        <v>14</v>
      </c>
      <c r="B21" s="6" t="s">
        <v>29</v>
      </c>
      <c r="C21" s="9">
        <f ca="1">+'Social Allocation Ratio'!C21</f>
        <v>13970.54</v>
      </c>
      <c r="D21" s="9">
        <f ca="1">+'Social Allocation Ratio'!D21</f>
        <v>17226.07</v>
      </c>
      <c r="E21" s="9">
        <f ca="1">+'Social Allocation Ratio'!E21</f>
        <v>20910.439999999999</v>
      </c>
      <c r="F21" s="9">
        <f ca="1">+'Social Allocation Ratio'!F21</f>
        <v>22876.15</v>
      </c>
      <c r="G21" s="9">
        <f ca="1">+'Social Allocation Ratio'!G21</f>
        <v>30725.96</v>
      </c>
      <c r="H21" s="85">
        <f ca="1">+'Outlay % GSDP'!H22</f>
        <v>80255</v>
      </c>
      <c r="I21" s="85">
        <f ca="1">+'Outlay % GSDP'!I22</f>
        <v>96972</v>
      </c>
      <c r="J21" s="85">
        <f ca="1">+'Outlay % GSDP'!J22</f>
        <v>99262</v>
      </c>
      <c r="K21" s="85">
        <f ca="1">+'Outlay % GSDP'!K22</f>
        <v>117567</v>
      </c>
      <c r="L21" s="85">
        <f ca="1">+'Outlay % GSDP'!L22</f>
        <v>135536</v>
      </c>
      <c r="M21" s="439">
        <f t="shared" si="3"/>
        <v>17.407687994517477</v>
      </c>
      <c r="N21" s="439">
        <f t="shared" si="3"/>
        <v>17.763962793383655</v>
      </c>
      <c r="O21" s="439">
        <f t="shared" si="3"/>
        <v>21.065906389151941</v>
      </c>
      <c r="P21" s="439">
        <f t="shared" si="4"/>
        <v>19.457968647664735</v>
      </c>
      <c r="Q21" s="439">
        <f t="shared" si="4"/>
        <v>22.669962224058551</v>
      </c>
    </row>
    <row r="22" spans="1:17" s="20" customFormat="1" ht="18.75" customHeight="1">
      <c r="A22" s="3">
        <v>15</v>
      </c>
      <c r="B22" s="6" t="s">
        <v>30</v>
      </c>
      <c r="C22" s="9">
        <f ca="1">+'Social Allocation Ratio'!C22</f>
        <v>2826.47</v>
      </c>
      <c r="D22" s="9">
        <f ca="1">+'Social Allocation Ratio'!D22</f>
        <v>3647.92</v>
      </c>
      <c r="E22" s="9">
        <f ca="1">+'Social Allocation Ratio'!E22</f>
        <v>4556.07</v>
      </c>
      <c r="F22" s="9">
        <f ca="1">+'Social Allocation Ratio'!F22</f>
        <v>5277.39</v>
      </c>
      <c r="G22" s="9">
        <f ca="1">+'Social Allocation Ratio'!G22</f>
        <v>5824.92</v>
      </c>
      <c r="H22" s="85">
        <f ca="1">+'Outlay % GSDP'!H23</f>
        <v>19565</v>
      </c>
      <c r="I22" s="85">
        <f ca="1">+'Outlay % GSDP'!I23</f>
        <v>25414</v>
      </c>
      <c r="J22" s="85">
        <f ca="1">+'Outlay % GSDP'!J23</f>
        <v>29126</v>
      </c>
      <c r="K22" s="85">
        <f ca="1">+'Outlay % GSDP'!K23</f>
        <v>32563</v>
      </c>
      <c r="L22" s="85">
        <f ca="1">+'Outlay % GSDP'!L23</f>
        <v>44460</v>
      </c>
      <c r="M22" s="439">
        <f t="shared" si="3"/>
        <v>14.446562739585994</v>
      </c>
      <c r="N22" s="439">
        <f t="shared" si="3"/>
        <v>14.353978122294798</v>
      </c>
      <c r="O22" s="439">
        <f t="shared" si="3"/>
        <v>15.642621712559224</v>
      </c>
      <c r="P22" s="439">
        <f t="shared" si="4"/>
        <v>16.206706998740902</v>
      </c>
      <c r="Q22" s="439">
        <f t="shared" si="4"/>
        <v>13.10148448043185</v>
      </c>
    </row>
    <row r="23" spans="1:17" ht="18.75" customHeight="1">
      <c r="A23" s="3">
        <v>16</v>
      </c>
      <c r="B23" s="6" t="s">
        <v>31</v>
      </c>
      <c r="C23" s="9">
        <f ca="1">+'Social Allocation Ratio'!C23</f>
        <v>39734.589999999997</v>
      </c>
      <c r="D23" s="9">
        <f ca="1">+'Social Allocation Ratio'!D23</f>
        <v>48031.34</v>
      </c>
      <c r="E23" s="9">
        <f ca="1">+'Social Allocation Ratio'!E23</f>
        <v>55750.46</v>
      </c>
      <c r="F23" s="9">
        <f ca="1">+'Social Allocation Ratio'!F23</f>
        <v>65157.7</v>
      </c>
      <c r="G23" s="9">
        <f ca="1">+'Social Allocation Ratio'!G23</f>
        <v>73856.38</v>
      </c>
      <c r="H23" s="85">
        <f ca="1">+'Outlay % GSDP'!H24</f>
        <v>329285</v>
      </c>
      <c r="I23" s="85">
        <f ca="1">+'Outlay % GSDP'!I24</f>
        <v>367912</v>
      </c>
      <c r="J23" s="85">
        <f ca="1">+'Outlay % GSDP'!J24</f>
        <v>427555</v>
      </c>
      <c r="K23" s="85">
        <f ca="1">+'Outlay % GSDP'!K24</f>
        <v>513173</v>
      </c>
      <c r="L23" s="85">
        <f ca="1">+'Outlay % GSDP'!L24</f>
        <v>586300.15250000008</v>
      </c>
      <c r="M23" s="439">
        <f t="shared" si="3"/>
        <v>12.066929863188422</v>
      </c>
      <c r="N23" s="439">
        <f t="shared" si="3"/>
        <v>13.055116440888037</v>
      </c>
      <c r="O23" s="439">
        <f t="shared" si="3"/>
        <v>13.039365695641497</v>
      </c>
      <c r="P23" s="439">
        <f t="shared" si="4"/>
        <v>12.697024200415843</v>
      </c>
      <c r="Q23" s="439">
        <f t="shared" si="4"/>
        <v>12.597025548274951</v>
      </c>
    </row>
    <row r="24" spans="1:17" ht="18.75" customHeight="1">
      <c r="A24" s="3">
        <v>17</v>
      </c>
      <c r="B24" s="6" t="s">
        <v>32</v>
      </c>
      <c r="C24" s="9">
        <f ca="1">+'Social Allocation Ratio'!C24</f>
        <v>21240</v>
      </c>
      <c r="D24" s="9">
        <f ca="1">+'Social Allocation Ratio'!D24</f>
        <v>25369</v>
      </c>
      <c r="E24" s="9">
        <f ca="1">+'Social Allocation Ratio'!E24</f>
        <v>31305</v>
      </c>
      <c r="F24" s="9">
        <f ca="1">+'Social Allocation Ratio'!F24</f>
        <v>33063</v>
      </c>
      <c r="G24" s="9">
        <f ca="1">+'Social Allocation Ratio'!G24</f>
        <v>40276</v>
      </c>
      <c r="H24" s="85">
        <f ca="1">+'Outlay % GSDP'!H25</f>
        <v>151593</v>
      </c>
      <c r="I24" s="85">
        <f ca="1">+'Outlay % GSDP'!I25</f>
        <v>182481</v>
      </c>
      <c r="J24" s="85">
        <f ca="1">+'Outlay % GSDP'!J25</f>
        <v>223567</v>
      </c>
      <c r="K24" s="85">
        <f ca="1">+'Outlay % GSDP'!K25</f>
        <v>263975</v>
      </c>
      <c r="L24" s="85">
        <f ca="1">+'Outlay % GSDP'!L25</f>
        <v>308943</v>
      </c>
      <c r="M24" s="439">
        <f t="shared" si="3"/>
        <v>14.01120104490313</v>
      </c>
      <c r="N24" s="439">
        <f t="shared" si="3"/>
        <v>13.902269277349422</v>
      </c>
      <c r="O24" s="439">
        <f t="shared" si="3"/>
        <v>14.002513787813051</v>
      </c>
      <c r="P24" s="439">
        <f t="shared" si="4"/>
        <v>12.525049720617481</v>
      </c>
      <c r="Q24" s="439">
        <f t="shared" si="4"/>
        <v>13.03670903694209</v>
      </c>
    </row>
    <row r="25" spans="1:17" ht="18.75" customHeight="1">
      <c r="A25" s="3">
        <v>18</v>
      </c>
      <c r="B25" s="6" t="s">
        <v>33</v>
      </c>
      <c r="C25" s="9">
        <f ca="1">+'Social Allocation Ratio'!C25</f>
        <v>14013.17</v>
      </c>
      <c r="D25" s="9">
        <f ca="1">+'Social Allocation Ratio'!D25</f>
        <v>16346.39</v>
      </c>
      <c r="E25" s="9">
        <f ca="1">+'Social Allocation Ratio'!E25</f>
        <v>18151.3</v>
      </c>
      <c r="F25" s="9">
        <f ca="1">+'Social Allocation Ratio'!F25</f>
        <v>20916.599999999999</v>
      </c>
      <c r="G25" s="9">
        <f ca="1">+'Social Allocation Ratio'!G25</f>
        <v>30499.64</v>
      </c>
      <c r="H25" s="85">
        <f ca="1">+'Outlay % GSDP'!H26</f>
        <v>83950</v>
      </c>
      <c r="I25" s="85">
        <f ca="1">+'Outlay % GSDP'!I26</f>
        <v>87794</v>
      </c>
      <c r="J25" s="85">
        <f ca="1">+'Outlay % GSDP'!J26</f>
        <v>100621</v>
      </c>
      <c r="K25" s="85">
        <f ca="1">+'Outlay % GSDP'!K26</f>
        <v>115535</v>
      </c>
      <c r="L25" s="85">
        <f ca="1">+'Outlay % GSDP'!L26</f>
        <v>130505</v>
      </c>
      <c r="M25" s="439">
        <f t="shared" si="3"/>
        <v>16.692281119714117</v>
      </c>
      <c r="N25" s="439">
        <f t="shared" si="3"/>
        <v>18.619028635214253</v>
      </c>
      <c r="O25" s="439">
        <f t="shared" si="3"/>
        <v>18.039276095447271</v>
      </c>
      <c r="P25" s="439">
        <f t="shared" si="4"/>
        <v>18.104124291340284</v>
      </c>
      <c r="Q25" s="439">
        <f t="shared" si="4"/>
        <v>23.370476226964485</v>
      </c>
    </row>
    <row r="26" spans="1:17" ht="18.75" customHeight="1">
      <c r="A26" s="3">
        <v>19</v>
      </c>
      <c r="B26" s="6" t="s">
        <v>34</v>
      </c>
      <c r="C26" s="9">
        <f ca="1">+'Social Allocation Ratio'!C26</f>
        <v>46780</v>
      </c>
      <c r="D26" s="9">
        <f ca="1">+'Social Allocation Ratio'!D26</f>
        <v>52261</v>
      </c>
      <c r="E26" s="9">
        <f ca="1">+'Social Allocation Ratio'!E26</f>
        <v>60655</v>
      </c>
      <c r="F26" s="9">
        <f ca="1">+'Social Allocation Ratio'!F26</f>
        <v>69127</v>
      </c>
      <c r="G26" s="9">
        <f ca="1">+'Social Allocation Ratio'!G26</f>
        <v>80857</v>
      </c>
      <c r="H26" s="85">
        <f ca="1">+'Outlay % GSDP'!H27</f>
        <v>270629</v>
      </c>
      <c r="I26" s="85">
        <f ca="1">+'Outlay % GSDP'!I27</f>
        <v>310312</v>
      </c>
      <c r="J26" s="85">
        <f ca="1">+'Outlay % GSDP'!J27</f>
        <v>337516</v>
      </c>
      <c r="K26" s="85">
        <f ca="1">+'Outlay % GSDP'!K27</f>
        <v>399347</v>
      </c>
      <c r="L26" s="85">
        <f ca="1">+'Outlay % GSDP'!L27</f>
        <v>458903</v>
      </c>
      <c r="M26" s="439">
        <f t="shared" si="3"/>
        <v>17.285656747798647</v>
      </c>
      <c r="N26" s="439">
        <f t="shared" si="3"/>
        <v>16.841437005336566</v>
      </c>
      <c r="O26" s="439">
        <f t="shared" si="3"/>
        <v>17.970999893338391</v>
      </c>
      <c r="P26" s="439">
        <f t="shared" si="4"/>
        <v>17.310008589021578</v>
      </c>
      <c r="Q26" s="439">
        <f t="shared" si="4"/>
        <v>17.619627677308713</v>
      </c>
    </row>
    <row r="27" spans="1:17" ht="18.75" customHeight="1">
      <c r="A27" s="3">
        <v>20</v>
      </c>
      <c r="B27" s="6" t="s">
        <v>35</v>
      </c>
      <c r="C27" s="9">
        <f ca="1">+'Social Allocation Ratio'!C27</f>
        <v>27259.37</v>
      </c>
      <c r="D27" s="9">
        <f ca="1">+'Social Allocation Ratio'!D27</f>
        <v>30903.15</v>
      </c>
      <c r="E27" s="9">
        <f ca="1">+'Social Allocation Ratio'!E27</f>
        <v>34068.44</v>
      </c>
      <c r="F27" s="9">
        <f ca="1">+'Social Allocation Ratio'!F27</f>
        <v>38790.239999999998</v>
      </c>
      <c r="G27" s="9">
        <f ca="1">+'Social Allocation Ratio'!G27</f>
        <v>50025.24</v>
      </c>
      <c r="H27" s="85">
        <f ca="1">+'Outlay % GSDP'!H28</f>
        <v>175141</v>
      </c>
      <c r="I27" s="85">
        <f ca="1">+'Outlay % GSDP'!I28</f>
        <v>202783</v>
      </c>
      <c r="J27" s="85">
        <f ca="1">+'Outlay % GSDP'!J28</f>
        <v>232381</v>
      </c>
      <c r="K27" s="85">
        <f ca="1">+'Outlay % GSDP'!K28</f>
        <v>276997</v>
      </c>
      <c r="L27" s="85">
        <f ca="1">+'Outlay % GSDP'!L28</f>
        <v>326693</v>
      </c>
      <c r="M27" s="439">
        <f t="shared" si="3"/>
        <v>15.564242524594468</v>
      </c>
      <c r="N27" s="439">
        <f t="shared" si="3"/>
        <v>15.239517119285148</v>
      </c>
      <c r="O27" s="439">
        <f t="shared" si="3"/>
        <v>14.660596176107344</v>
      </c>
      <c r="P27" s="439">
        <f t="shared" si="4"/>
        <v>14.003848417130872</v>
      </c>
      <c r="Q27" s="439">
        <f t="shared" si="4"/>
        <v>15.312614595354045</v>
      </c>
    </row>
    <row r="28" spans="1:17" ht="18.75" customHeight="1">
      <c r="A28" s="3">
        <v>21</v>
      </c>
      <c r="B28" s="6" t="s">
        <v>36</v>
      </c>
      <c r="C28" s="9">
        <f ca="1">+'Social Allocation Ratio'!C28</f>
        <v>33590.75</v>
      </c>
      <c r="D28" s="9">
        <f ca="1">+'Social Allocation Ratio'!D28</f>
        <v>38089.22</v>
      </c>
      <c r="E28" s="9">
        <f ca="1">+'Social Allocation Ratio'!E28</f>
        <v>47638.66</v>
      </c>
      <c r="F28" s="9">
        <f ca="1">+'Social Allocation Ratio'!F28</f>
        <v>57528.05</v>
      </c>
      <c r="G28" s="9">
        <f ca="1">+'Social Allocation Ratio'!G28</f>
        <v>65845.64</v>
      </c>
      <c r="H28" s="85">
        <f ca="1">+'Outlay % GSDP'!H29</f>
        <v>161479</v>
      </c>
      <c r="I28" s="85">
        <f ca="1">+'Outlay % GSDP'!I29</f>
        <v>197276</v>
      </c>
      <c r="J28" s="85">
        <f ca="1">+'Outlay % GSDP'!J29</f>
        <v>227984</v>
      </c>
      <c r="K28" s="85">
        <f ca="1">+'Outlay % GSDP'!K29</f>
        <v>260403</v>
      </c>
      <c r="L28" s="85">
        <f ca="1">+'Outlay % GSDP'!L29</f>
        <v>315387</v>
      </c>
      <c r="M28" s="439">
        <f t="shared" si="3"/>
        <v>20.801930901231739</v>
      </c>
      <c r="N28" s="439">
        <f t="shared" si="3"/>
        <v>19.307579229100348</v>
      </c>
      <c r="O28" s="439">
        <f t="shared" si="3"/>
        <v>20.895615481788195</v>
      </c>
      <c r="P28" s="439">
        <f t="shared" si="4"/>
        <v>22.091930584517076</v>
      </c>
      <c r="Q28" s="439">
        <f t="shared" si="4"/>
        <v>20.877727997666359</v>
      </c>
    </row>
    <row r="29" spans="1:17" ht="18.75" customHeight="1">
      <c r="A29" s="3">
        <v>22</v>
      </c>
      <c r="B29" s="6" t="s">
        <v>37</v>
      </c>
      <c r="C29" s="9">
        <f ca="1">+'Social Allocation Ratio'!C29</f>
        <v>77494.820000000007</v>
      </c>
      <c r="D29" s="9">
        <f ca="1">+'Social Allocation Ratio'!D29</f>
        <v>95847.679999999993</v>
      </c>
      <c r="E29" s="9">
        <f ca="1">+'Social Allocation Ratio'!E29</f>
        <v>113605.54</v>
      </c>
      <c r="F29" s="9">
        <f ca="1">+'Social Allocation Ratio'!F29</f>
        <v>125381.73</v>
      </c>
      <c r="G29" s="9">
        <f ca="1">+'Social Allocation Ratio'!G29</f>
        <v>146731</v>
      </c>
      <c r="H29" s="85">
        <f ca="1">+'Outlay % GSDP'!H30</f>
        <v>679004</v>
      </c>
      <c r="I29" s="85">
        <f ca="1">+'Outlay % GSDP'!I30</f>
        <v>756334</v>
      </c>
      <c r="J29" s="85">
        <f ca="1">+'Outlay % GSDP'!J30</f>
        <v>901330</v>
      </c>
      <c r="K29" s="85">
        <f ca="1">+'Outlay % GSDP'!K30</f>
        <v>1029621</v>
      </c>
      <c r="L29" s="85">
        <f ca="1">+'Outlay % GSDP'!L30</f>
        <v>1180302</v>
      </c>
      <c r="M29" s="439">
        <f t="shared" si="3"/>
        <v>11.413013767223758</v>
      </c>
      <c r="N29" s="439">
        <f t="shared" si="3"/>
        <v>12.672665779933205</v>
      </c>
      <c r="O29" s="439">
        <f t="shared" si="3"/>
        <v>12.604211554036812</v>
      </c>
      <c r="P29" s="439">
        <f t="shared" si="4"/>
        <v>12.177464329107506</v>
      </c>
      <c r="Q29" s="439">
        <f t="shared" si="4"/>
        <v>12.431648849192833</v>
      </c>
    </row>
    <row r="30" spans="1:17" ht="18.75" customHeight="1">
      <c r="A30" s="3">
        <v>23</v>
      </c>
      <c r="B30" s="6" t="s">
        <v>104</v>
      </c>
      <c r="C30" s="9">
        <f ca="1">+'Social Allocation Ratio'!C30</f>
        <v>20999.360000000001</v>
      </c>
      <c r="D30" s="9">
        <f ca="1">+'Social Allocation Ratio'!D30</f>
        <v>25180.26</v>
      </c>
      <c r="E30" s="9">
        <f ca="1">+'Social Allocation Ratio'!E30</f>
        <v>29042.63</v>
      </c>
      <c r="F30" s="9">
        <f ca="1">+'Social Allocation Ratio'!F30</f>
        <v>33967.74</v>
      </c>
      <c r="G30" s="9">
        <f ca="1">+'Social Allocation Ratio'!G30</f>
        <v>42640.36</v>
      </c>
      <c r="H30" s="85">
        <f ca="1">+'Outlay % GSDP'!H31</f>
        <v>129274</v>
      </c>
      <c r="I30" s="85">
        <f ca="1">+'Outlay % GSDP'!I31</f>
        <v>148491</v>
      </c>
      <c r="J30" s="85">
        <f ca="1">+'Outlay % GSDP'!J31</f>
        <v>163727</v>
      </c>
      <c r="K30" s="85">
        <f ca="1">+'Outlay % GSDP'!K31</f>
        <v>195028</v>
      </c>
      <c r="L30" s="85">
        <f ca="1">+'Outlay % GSDP'!L31</f>
        <v>226236</v>
      </c>
      <c r="M30" s="439">
        <f t="shared" si="3"/>
        <v>16.244070733480825</v>
      </c>
      <c r="N30" s="439">
        <f t="shared" si="3"/>
        <v>16.957431763541223</v>
      </c>
      <c r="O30" s="439">
        <f t="shared" si="3"/>
        <v>17.738448759215036</v>
      </c>
      <c r="P30" s="439">
        <f t="shared" si="4"/>
        <v>17.416852964702503</v>
      </c>
      <c r="Q30" s="439">
        <f t="shared" si="4"/>
        <v>18.847734224438199</v>
      </c>
    </row>
    <row r="31" spans="1:17" s="20" customFormat="1" ht="18.75" customHeight="1">
      <c r="A31" s="3">
        <v>24</v>
      </c>
      <c r="B31" s="6" t="s">
        <v>39</v>
      </c>
      <c r="C31" s="9">
        <f ca="1">+'Social Allocation Ratio'!C31</f>
        <v>25287.31</v>
      </c>
      <c r="D31" s="9">
        <f ca="1">+'Social Allocation Ratio'!D31</f>
        <v>27481.99</v>
      </c>
      <c r="E31" s="9">
        <f ca="1">+'Social Allocation Ratio'!E31</f>
        <v>29603.19</v>
      </c>
      <c r="F31" s="9">
        <f ca="1">+'Social Allocation Ratio'!F31</f>
        <v>35349.67</v>
      </c>
      <c r="G31" s="9">
        <f ca="1">+'Social Allocation Ratio'!G31</f>
        <v>40908.44</v>
      </c>
      <c r="H31" s="85">
        <f ca="1">+'Outlay % GSDP'!H32</f>
        <v>152245</v>
      </c>
      <c r="I31" s="85">
        <f ca="1">+'Outlay % GSDP'!I32</f>
        <v>174039</v>
      </c>
      <c r="J31" s="85">
        <f ca="1">+'Outlay % GSDP'!J32</f>
        <v>198393</v>
      </c>
      <c r="K31" s="85">
        <f ca="1">+'Outlay % GSDP'!K32</f>
        <v>224975</v>
      </c>
      <c r="L31" s="85">
        <f ca="1">+'Outlay % GSDP'!L32</f>
        <v>248301</v>
      </c>
      <c r="M31" s="439">
        <f t="shared" si="3"/>
        <v>16.609616079345795</v>
      </c>
      <c r="N31" s="439">
        <f t="shared" si="3"/>
        <v>15.790707829854227</v>
      </c>
      <c r="O31" s="439">
        <f t="shared" si="3"/>
        <v>14.921489165444346</v>
      </c>
      <c r="P31" s="439">
        <f t="shared" si="4"/>
        <v>15.71271030114457</v>
      </c>
      <c r="Q31" s="439">
        <f t="shared" si="4"/>
        <v>16.475342427134809</v>
      </c>
    </row>
    <row r="32" spans="1:17" ht="18.75" customHeight="1">
      <c r="A32" s="3">
        <v>25</v>
      </c>
      <c r="B32" s="6" t="s">
        <v>40</v>
      </c>
      <c r="C32" s="9">
        <f ca="1">+'Social Allocation Ratio'!C32</f>
        <v>35970.89</v>
      </c>
      <c r="D32" s="9">
        <f ca="1">+'Social Allocation Ratio'!D32</f>
        <v>40535.61</v>
      </c>
      <c r="E32" s="9">
        <f ca="1">+'Social Allocation Ratio'!E32</f>
        <v>45804.74</v>
      </c>
      <c r="F32" s="9">
        <f ca="1">+'Social Allocation Ratio'!F32</f>
        <v>50386.080000000002</v>
      </c>
      <c r="G32" s="9">
        <f ca="1">+'Social Allocation Ratio'!G32</f>
        <v>60524.46</v>
      </c>
      <c r="H32" s="85">
        <f ca="1">+'Outlay % GSDP'!H33</f>
        <v>194822</v>
      </c>
      <c r="I32" s="85">
        <f ca="1">+'Outlay % GSDP'!I33</f>
        <v>230949</v>
      </c>
      <c r="J32" s="85">
        <f ca="1">+'Outlay % GSDP'!J33</f>
        <v>263258</v>
      </c>
      <c r="K32" s="85">
        <f ca="1">+'Outlay % GSDP'!K33</f>
        <v>323682</v>
      </c>
      <c r="L32" s="85">
        <f ca="1">+'Outlay % GSDP'!L33</f>
        <v>368320</v>
      </c>
      <c r="M32" s="439">
        <f t="shared" si="3"/>
        <v>18.463464085164919</v>
      </c>
      <c r="N32" s="439">
        <f t="shared" si="3"/>
        <v>17.551758180377487</v>
      </c>
      <c r="O32" s="439">
        <f t="shared" si="3"/>
        <v>17.399182550957615</v>
      </c>
      <c r="P32" s="439">
        <f t="shared" si="4"/>
        <v>15.56653752757336</v>
      </c>
      <c r="Q32" s="439">
        <f t="shared" si="4"/>
        <v>16.43257493483927</v>
      </c>
    </row>
    <row r="33" spans="1:17" ht="18.75" customHeight="1">
      <c r="A33" s="3">
        <v>26</v>
      </c>
      <c r="B33" s="6" t="s">
        <v>41</v>
      </c>
      <c r="C33" s="9">
        <f ca="1">+'Social Allocation Ratio'!C33</f>
        <v>52218.8</v>
      </c>
      <c r="D33" s="9">
        <f ca="1">+'Social Allocation Ratio'!D33</f>
        <v>65524.5</v>
      </c>
      <c r="E33" s="9">
        <f ca="1">+'Social Allocation Ratio'!E33</f>
        <v>70238.490000000005</v>
      </c>
      <c r="F33" s="9">
        <f ca="1">+'Social Allocation Ratio'!F33</f>
        <v>87604.49</v>
      </c>
      <c r="G33" s="9">
        <f ca="1">+'Social Allocation Ratio'!G33</f>
        <v>98407.2</v>
      </c>
      <c r="H33" s="85">
        <f ca="1">+'Outlay % GSDP'!H34</f>
        <v>350819</v>
      </c>
      <c r="I33" s="85">
        <f ca="1">+'Outlay % GSDP'!I34</f>
        <v>401336</v>
      </c>
      <c r="J33" s="85">
        <f ca="1">+'Outlay % GSDP'!J34</f>
        <v>479720</v>
      </c>
      <c r="K33" s="85">
        <f ca="1">+'Outlay % GSDP'!K34</f>
        <v>566422</v>
      </c>
      <c r="L33" s="85">
        <f ca="1">+'Outlay % GSDP'!L34</f>
        <v>639025</v>
      </c>
      <c r="M33" s="439">
        <f t="shared" si="3"/>
        <v>14.884826648499654</v>
      </c>
      <c r="N33" s="439">
        <f t="shared" si="3"/>
        <v>16.326594175453984</v>
      </c>
      <c r="O33" s="439">
        <f t="shared" si="3"/>
        <v>14.641559659801551</v>
      </c>
      <c r="P33" s="439">
        <f t="shared" si="4"/>
        <v>15.466293682095683</v>
      </c>
      <c r="Q33" s="439">
        <f t="shared" si="4"/>
        <v>15.39958530573921</v>
      </c>
    </row>
    <row r="34" spans="1:17" ht="18.75" customHeight="1">
      <c r="A34" s="3">
        <v>27</v>
      </c>
      <c r="B34" s="6" t="s">
        <v>42</v>
      </c>
      <c r="C34" s="9">
        <f ca="1">+'Social Allocation Ratio'!C34</f>
        <v>82915.55</v>
      </c>
      <c r="D34" s="9">
        <f ca="1">+'Social Allocation Ratio'!D34</f>
        <v>99121.62</v>
      </c>
      <c r="E34" s="9">
        <f ca="1">+'Social Allocation Ratio'!E34</f>
        <v>115406.69</v>
      </c>
      <c r="F34" s="9">
        <f ca="1">+'Social Allocation Ratio'!F34</f>
        <v>128916.63</v>
      </c>
      <c r="G34" s="9">
        <f ca="1">+'Social Allocation Ratio'!G34</f>
        <v>156845.41</v>
      </c>
      <c r="H34" s="85">
        <f ca="1">+'Outlay % GSDP'!H35</f>
        <v>383026</v>
      </c>
      <c r="I34" s="85">
        <f ca="1">+'Outlay % GSDP'!I35</f>
        <v>444685</v>
      </c>
      <c r="J34" s="85">
        <f ca="1">+'Outlay % GSDP'!J35</f>
        <v>523193</v>
      </c>
      <c r="K34" s="85">
        <f ca="1">+'Outlay % GSDP'!K35</f>
        <v>605219</v>
      </c>
      <c r="L34" s="85">
        <f ca="1">+'Outlay % GSDP'!L35</f>
        <v>687836</v>
      </c>
      <c r="M34" s="439">
        <f t="shared" si="3"/>
        <v>21.647499125385743</v>
      </c>
      <c r="N34" s="439">
        <f t="shared" si="3"/>
        <v>22.290299875192552</v>
      </c>
      <c r="O34" s="439">
        <f t="shared" si="3"/>
        <v>22.058148713763373</v>
      </c>
      <c r="P34" s="439">
        <f t="shared" si="4"/>
        <v>21.300823338328769</v>
      </c>
      <c r="Q34" s="439">
        <f t="shared" si="4"/>
        <v>22.802733500427426</v>
      </c>
    </row>
    <row r="35" spans="1:17" ht="18.75" customHeight="1">
      <c r="A35" s="3">
        <v>28</v>
      </c>
      <c r="B35" s="6" t="s">
        <v>43</v>
      </c>
      <c r="C35" s="9">
        <f ca="1">+'Social Allocation Ratio'!C35</f>
        <v>42064.28</v>
      </c>
      <c r="D35" s="9">
        <f ca="1">+'Social Allocation Ratio'!D35</f>
        <v>56078.26</v>
      </c>
      <c r="E35" s="9">
        <f ca="1">+'Social Allocation Ratio'!E35</f>
        <v>62263.38</v>
      </c>
      <c r="F35" s="9">
        <f ca="1">+'Social Allocation Ratio'!F35</f>
        <v>67207.649999999994</v>
      </c>
      <c r="G35" s="9">
        <f ca="1">+'Social Allocation Ratio'!G35</f>
        <v>81572.63</v>
      </c>
      <c r="H35" s="85">
        <f ca="1">+'Outlay % GSDP'!H36</f>
        <v>299483</v>
      </c>
      <c r="I35" s="85">
        <f ca="1">+'Outlay % GSDP'!I36</f>
        <v>341942</v>
      </c>
      <c r="J35" s="85">
        <f ca="1">+'Outlay % GSDP'!J36</f>
        <v>398933</v>
      </c>
      <c r="K35" s="85">
        <f ca="1">+'Outlay % GSDP'!K36</f>
        <v>467421</v>
      </c>
      <c r="L35" s="85">
        <f ca="1">+'Outlay % GSDP'!L36</f>
        <v>541586</v>
      </c>
      <c r="M35" s="439">
        <f t="shared" si="3"/>
        <v>14.045631972432492</v>
      </c>
      <c r="N35" s="439">
        <f t="shared" si="3"/>
        <v>16.399933322025372</v>
      </c>
      <c r="O35" s="439">
        <f t="shared" si="3"/>
        <v>15.607477947424755</v>
      </c>
      <c r="P35" s="439">
        <f t="shared" si="4"/>
        <v>14.378397632968992</v>
      </c>
      <c r="Q35" s="439">
        <f t="shared" si="4"/>
        <v>15.061805511959319</v>
      </c>
    </row>
    <row r="36" spans="1:17" s="87" customFormat="1" ht="18.75" customHeight="1">
      <c r="A36" s="84"/>
      <c r="B36" s="4" t="s">
        <v>44</v>
      </c>
      <c r="C36" s="16">
        <f t="shared" ref="C36:L36" si="5">SUM(C19:C35)</f>
        <v>635983.45000000007</v>
      </c>
      <c r="D36" s="16">
        <f t="shared" si="5"/>
        <v>752777.04</v>
      </c>
      <c r="E36" s="16">
        <f t="shared" si="5"/>
        <v>858643.87999999977</v>
      </c>
      <c r="F36" s="16">
        <f t="shared" si="5"/>
        <v>983036.97</v>
      </c>
      <c r="G36" s="16">
        <f t="shared" si="5"/>
        <v>1186790.52</v>
      </c>
      <c r="H36" s="86">
        <f t="shared" si="5"/>
        <v>3939063</v>
      </c>
      <c r="I36" s="86">
        <f t="shared" si="5"/>
        <v>4537764</v>
      </c>
      <c r="J36" s="86">
        <f t="shared" si="5"/>
        <v>5260777</v>
      </c>
      <c r="K36" s="86">
        <f t="shared" si="5"/>
        <v>6182747</v>
      </c>
      <c r="L36" s="86">
        <f t="shared" si="5"/>
        <v>7126825.1524999999</v>
      </c>
      <c r="M36" s="440">
        <f t="shared" si="3"/>
        <v>16.145551619763381</v>
      </c>
      <c r="N36" s="440">
        <f t="shared" si="3"/>
        <v>16.589162415674327</v>
      </c>
      <c r="O36" s="440">
        <f t="shared" si="3"/>
        <v>16.321617129941068</v>
      </c>
      <c r="P36" s="440">
        <f>+F36/K36*100</f>
        <v>15.899679705477194</v>
      </c>
      <c r="Q36" s="440">
        <f>+G36/L36*100</f>
        <v>16.65244333353245</v>
      </c>
    </row>
    <row r="37" spans="1:17" s="87" customFormat="1" ht="18.75" customHeight="1">
      <c r="A37" s="84"/>
      <c r="B37" s="4" t="s">
        <v>45</v>
      </c>
      <c r="C37" s="78"/>
      <c r="D37" s="78"/>
      <c r="E37" s="78"/>
      <c r="F37" s="78"/>
      <c r="G37" s="78"/>
      <c r="H37" s="86"/>
      <c r="I37" s="86"/>
      <c r="J37" s="86"/>
      <c r="K37" s="86"/>
      <c r="L37" s="86"/>
      <c r="M37" s="439"/>
      <c r="N37" s="439"/>
      <c r="O37" s="439"/>
      <c r="P37" s="439"/>
      <c r="Q37" s="439"/>
    </row>
    <row r="38" spans="1:17" ht="18.75" customHeight="1">
      <c r="A38" s="3">
        <v>29</v>
      </c>
      <c r="B38" s="6" t="s">
        <v>46</v>
      </c>
      <c r="C38" s="9">
        <f ca="1">+'Social Allocation Ratio'!C38</f>
        <v>18159.63</v>
      </c>
      <c r="D38" s="9">
        <f ca="1">+'Social Allocation Ratio'!D38</f>
        <v>20361.310000000001</v>
      </c>
      <c r="E38" s="9">
        <f ca="1">+'Social Allocation Ratio'!E38</f>
        <v>24925.919999999998</v>
      </c>
      <c r="F38" s="9">
        <f ca="1">+'Social Allocation Ratio'!F38</f>
        <v>25524.32</v>
      </c>
      <c r="G38" s="9">
        <f ca="1">+'Social Allocation Ratio'!G38</f>
        <v>27920</v>
      </c>
      <c r="H38" s="85">
        <f ca="1">+'Outlay % GSDP'!H42</f>
        <v>157947</v>
      </c>
      <c r="I38" s="85">
        <f ca="1">+'Outlay % GSDP'!I42</f>
        <v>189533</v>
      </c>
      <c r="J38" s="85">
        <f ca="1">+'Outlay % GSDP'!J42</f>
        <v>223759</v>
      </c>
      <c r="K38" s="85">
        <f ca="1">+'Outlay % GSDP'!K42</f>
        <v>264496</v>
      </c>
      <c r="L38" s="85">
        <f ca="1">+'Outlay % GSDP'!L42</f>
        <v>313934</v>
      </c>
      <c r="M38" s="439">
        <f t="shared" ref="M38:O40" si="6">+C38/H38*100</f>
        <v>11.497293395885963</v>
      </c>
      <c r="N38" s="439">
        <f t="shared" si="6"/>
        <v>10.742883824980346</v>
      </c>
      <c r="O38" s="439">
        <f t="shared" si="6"/>
        <v>11.139627903235176</v>
      </c>
      <c r="P38" s="439">
        <f>F38/K38*100</f>
        <v>9.6501724033633778</v>
      </c>
      <c r="Q38" s="439">
        <f>G38/L38*100</f>
        <v>8.8935890983455135</v>
      </c>
    </row>
    <row r="39" spans="1:17" ht="18.75" customHeight="1">
      <c r="A39" s="3">
        <v>30</v>
      </c>
      <c r="B39" s="6" t="s">
        <v>47</v>
      </c>
      <c r="C39" s="9">
        <f ca="1">+'Social Allocation Ratio'!C39</f>
        <v>2595</v>
      </c>
      <c r="D39" s="9">
        <f ca="1">+'Social Allocation Ratio'!D39</f>
        <v>2957</v>
      </c>
      <c r="E39" s="9">
        <f ca="1">+'Social Allocation Ratio'!E39</f>
        <v>3586</v>
      </c>
      <c r="F39" s="9">
        <f ca="1">+'Social Allocation Ratio'!F39</f>
        <v>4091</v>
      </c>
      <c r="G39" s="9">
        <f ca="1">+'Social Allocation Ratio'!G39</f>
        <v>4828</v>
      </c>
      <c r="H39" s="85">
        <f ca="1">+'Outlay % GSDP'!H43</f>
        <v>9251</v>
      </c>
      <c r="I39" s="85">
        <f ca="1">+'Outlay % GSDP'!I43</f>
        <v>10050</v>
      </c>
      <c r="J39" s="85">
        <f ca="1">+'Outlay % GSDP'!J43</f>
        <v>11344</v>
      </c>
      <c r="K39" s="85">
        <f ca="1">+'Outlay % GSDP'!K43</f>
        <v>12929</v>
      </c>
      <c r="L39" s="85">
        <f ca="1">+'Outlay % GSDP'!L43</f>
        <v>13724</v>
      </c>
      <c r="M39" s="439">
        <f t="shared" si="6"/>
        <v>28.051021511187979</v>
      </c>
      <c r="N39" s="439">
        <f t="shared" si="6"/>
        <v>29.4228855721393</v>
      </c>
      <c r="O39" s="439">
        <f t="shared" si="6"/>
        <v>31.611424541607896</v>
      </c>
      <c r="P39" s="439">
        <f>F39/K39*100</f>
        <v>31.64204501508237</v>
      </c>
      <c r="Q39" s="439">
        <f>G39/L39*100</f>
        <v>35.179248032643542</v>
      </c>
    </row>
    <row r="40" spans="1:17" ht="18.75" customHeight="1">
      <c r="A40" s="3"/>
      <c r="B40" s="4" t="s">
        <v>105</v>
      </c>
      <c r="C40" s="16">
        <f t="shared" ref="C40:L40" si="7">SUM(C38:C39)</f>
        <v>20754.63</v>
      </c>
      <c r="D40" s="16">
        <f t="shared" si="7"/>
        <v>23318.31</v>
      </c>
      <c r="E40" s="16">
        <f t="shared" si="7"/>
        <v>28511.919999999998</v>
      </c>
      <c r="F40" s="16">
        <f t="shared" si="7"/>
        <v>29615.32</v>
      </c>
      <c r="G40" s="16">
        <f t="shared" si="7"/>
        <v>32748</v>
      </c>
      <c r="H40" s="86">
        <f t="shared" si="7"/>
        <v>167198</v>
      </c>
      <c r="I40" s="86">
        <f t="shared" si="7"/>
        <v>199583</v>
      </c>
      <c r="J40" s="86">
        <f t="shared" si="7"/>
        <v>235103</v>
      </c>
      <c r="K40" s="86">
        <f t="shared" si="7"/>
        <v>277425</v>
      </c>
      <c r="L40" s="86">
        <f t="shared" si="7"/>
        <v>327658</v>
      </c>
      <c r="M40" s="440">
        <f t="shared" si="6"/>
        <v>12.413204703405544</v>
      </c>
      <c r="N40" s="440">
        <f t="shared" si="6"/>
        <v>11.683515129044057</v>
      </c>
      <c r="O40" s="440">
        <f t="shared" si="6"/>
        <v>12.12741649404729</v>
      </c>
      <c r="P40" s="440">
        <f>+F40/K40*100</f>
        <v>10.675072542128502</v>
      </c>
      <c r="Q40" s="440">
        <f>+G40/L40*100</f>
        <v>9.9945675063633423</v>
      </c>
    </row>
    <row r="41" spans="1:17" ht="9" customHeight="1">
      <c r="A41" s="3"/>
      <c r="B41" s="4"/>
      <c r="C41" s="16"/>
      <c r="D41" s="16"/>
      <c r="E41" s="16"/>
      <c r="F41" s="16"/>
      <c r="G41" s="16"/>
      <c r="H41" s="86"/>
      <c r="I41" s="86"/>
      <c r="J41" s="86"/>
      <c r="K41" s="86"/>
      <c r="L41" s="86"/>
      <c r="M41" s="439"/>
      <c r="N41" s="439"/>
      <c r="O41" s="439"/>
      <c r="P41" s="439"/>
      <c r="Q41" s="439"/>
    </row>
    <row r="42" spans="1:17" s="87" customFormat="1">
      <c r="A42" s="84"/>
      <c r="B42" s="4" t="s">
        <v>49</v>
      </c>
      <c r="C42" s="16">
        <f t="shared" ref="C42:L42" si="8">+C17+C36+C40</f>
        <v>727759.66</v>
      </c>
      <c r="D42" s="16">
        <f t="shared" si="8"/>
        <v>857422.66000000015</v>
      </c>
      <c r="E42" s="16">
        <f>+E17+E36+E40</f>
        <v>986044.39999999979</v>
      </c>
      <c r="F42" s="16">
        <f>+F17+F36+F40</f>
        <v>1129572.19</v>
      </c>
      <c r="G42" s="16">
        <f>+G17+G36+G40</f>
        <v>1358121.73</v>
      </c>
      <c r="H42" s="86">
        <f t="shared" si="8"/>
        <v>4341777</v>
      </c>
      <c r="I42" s="86">
        <f t="shared" si="8"/>
        <v>5013762</v>
      </c>
      <c r="J42" s="86">
        <f t="shared" si="8"/>
        <v>5821399</v>
      </c>
      <c r="K42" s="86">
        <f t="shared" si="8"/>
        <v>6831509</v>
      </c>
      <c r="L42" s="86">
        <f t="shared" si="8"/>
        <v>7874383.9814999998</v>
      </c>
      <c r="M42" s="440">
        <f>+C42/H42*100</f>
        <v>16.761792694558011</v>
      </c>
      <c r="N42" s="440">
        <f>+D42/I42*100</f>
        <v>17.10138335246069</v>
      </c>
      <c r="O42" s="440">
        <f>+E42/J42*100</f>
        <v>16.938272054535343</v>
      </c>
      <c r="P42" s="440">
        <f>+F42/K42*100</f>
        <v>16.534739103761702</v>
      </c>
      <c r="Q42" s="440">
        <f>+G42/K42*100</f>
        <v>19.880259690794521</v>
      </c>
    </row>
    <row r="43" spans="1:17" s="14" customFormat="1">
      <c r="A43" s="22"/>
      <c r="B43" s="23" t="s">
        <v>50</v>
      </c>
      <c r="C43" s="24"/>
      <c r="D43" s="24"/>
      <c r="E43" s="24"/>
      <c r="F43" s="24"/>
      <c r="G43" s="24"/>
      <c r="H43" s="24"/>
      <c r="I43" s="24"/>
      <c r="J43" s="24" t="s">
        <v>308</v>
      </c>
      <c r="K43" s="24"/>
      <c r="L43" s="24"/>
      <c r="M43" s="24"/>
      <c r="N43" s="24"/>
    </row>
  </sheetData>
  <mergeCells count="7">
    <mergeCell ref="A1:N1"/>
    <mergeCell ref="A2:A4"/>
    <mergeCell ref="B2:B3"/>
    <mergeCell ref="C2:G2"/>
    <mergeCell ref="H2:L2"/>
    <mergeCell ref="M2:Q2"/>
    <mergeCell ref="H4:L4"/>
  </mergeCells>
  <phoneticPr fontId="63" type="noConversion"/>
  <printOptions horizontalCentered="1"/>
  <pageMargins left="0.35433070866141736" right="0.15748031496062992" top="0.78740157480314965" bottom="0.39370078740157483" header="0" footer="0"/>
  <pageSetup paperSize="9" scale="64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B31" sqref="B31"/>
    </sheetView>
  </sheetViews>
  <sheetFormatPr defaultRowHeight="12.75"/>
  <cols>
    <col min="1" max="1" width="5.5703125" style="26" customWidth="1"/>
    <col min="2" max="2" width="37" customWidth="1"/>
    <col min="3" max="4" width="12.28515625" customWidth="1"/>
    <col min="5" max="7" width="12.28515625" style="14" customWidth="1"/>
    <col min="8" max="9" width="10.42578125" customWidth="1"/>
    <col min="10" max="12" width="10.42578125" style="282" customWidth="1"/>
    <col min="13" max="14" width="10.42578125" customWidth="1"/>
    <col min="15" max="17" width="10.42578125" style="14" customWidth="1"/>
  </cols>
  <sheetData>
    <row r="1" spans="1:17" ht="30.75" customHeight="1">
      <c r="A1" s="644" t="s">
        <v>286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</row>
    <row r="2" spans="1:17" ht="37.5" customHeight="1">
      <c r="A2" s="636" t="s">
        <v>99</v>
      </c>
      <c r="B2" s="636" t="s">
        <v>100</v>
      </c>
      <c r="C2" s="645" t="s">
        <v>127</v>
      </c>
      <c r="D2" s="646"/>
      <c r="E2" s="646"/>
      <c r="F2" s="646"/>
      <c r="G2" s="647"/>
      <c r="H2" s="645" t="s">
        <v>106</v>
      </c>
      <c r="I2" s="646"/>
      <c r="J2" s="646"/>
      <c r="K2" s="646"/>
      <c r="L2" s="647"/>
      <c r="M2" s="609" t="s">
        <v>107</v>
      </c>
      <c r="N2" s="609"/>
      <c r="O2" s="609"/>
      <c r="P2" s="609"/>
      <c r="Q2" s="609"/>
    </row>
    <row r="3" spans="1:17" s="83" customFormat="1" ht="24" customHeight="1">
      <c r="A3" s="637"/>
      <c r="B3" s="637"/>
      <c r="C3" s="82" t="s">
        <v>55</v>
      </c>
      <c r="D3" s="82" t="s">
        <v>56</v>
      </c>
      <c r="E3" s="88" t="s">
        <v>7</v>
      </c>
      <c r="F3" s="88" t="s">
        <v>8</v>
      </c>
      <c r="G3" s="88" t="s">
        <v>9</v>
      </c>
      <c r="H3" s="82" t="s">
        <v>55</v>
      </c>
      <c r="I3" s="82" t="s">
        <v>56</v>
      </c>
      <c r="J3" s="88" t="s">
        <v>7</v>
      </c>
      <c r="K3" s="88" t="s">
        <v>8</v>
      </c>
      <c r="L3" s="88" t="s">
        <v>9</v>
      </c>
      <c r="M3" s="461" t="s">
        <v>55</v>
      </c>
      <c r="N3" s="461" t="s">
        <v>56</v>
      </c>
      <c r="O3" s="461" t="s">
        <v>7</v>
      </c>
      <c r="P3" s="461" t="s">
        <v>8</v>
      </c>
      <c r="Q3" s="461" t="s">
        <v>9</v>
      </c>
    </row>
    <row r="4" spans="1:17" ht="25.5" customHeight="1">
      <c r="A4" s="125"/>
      <c r="B4" s="127">
        <v>41129</v>
      </c>
      <c r="C4" s="84" t="s">
        <v>103</v>
      </c>
      <c r="D4" s="84" t="s">
        <v>71</v>
      </c>
      <c r="E4" s="31" t="s">
        <v>10</v>
      </c>
      <c r="F4" s="31" t="s">
        <v>58</v>
      </c>
      <c r="G4" s="15" t="s">
        <v>12</v>
      </c>
      <c r="H4" s="84" t="s">
        <v>103</v>
      </c>
      <c r="I4" s="84" t="s">
        <v>103</v>
      </c>
      <c r="J4" s="31" t="s">
        <v>10</v>
      </c>
      <c r="K4" s="31" t="s">
        <v>58</v>
      </c>
      <c r="L4" s="15" t="s">
        <v>12</v>
      </c>
      <c r="M4" s="462" t="s">
        <v>103</v>
      </c>
      <c r="N4" s="462" t="s">
        <v>103</v>
      </c>
      <c r="O4" s="443" t="s">
        <v>10</v>
      </c>
      <c r="P4" s="443" t="s">
        <v>58</v>
      </c>
      <c r="Q4" s="462" t="s">
        <v>12</v>
      </c>
    </row>
    <row r="5" spans="1:17" ht="18.75" customHeight="1">
      <c r="A5" s="3"/>
      <c r="B5" s="4" t="s">
        <v>13</v>
      </c>
      <c r="C5" s="84"/>
      <c r="D5" s="84"/>
      <c r="E5" s="15"/>
      <c r="F5" s="15"/>
      <c r="G5" s="15"/>
      <c r="H5" s="84"/>
      <c r="I5" s="84"/>
      <c r="J5" s="15"/>
      <c r="K5" s="15"/>
      <c r="L5" s="15"/>
      <c r="M5" s="462"/>
      <c r="N5" s="462"/>
      <c r="O5" s="463"/>
      <c r="P5" s="463"/>
      <c r="Q5" s="463"/>
    </row>
    <row r="6" spans="1:17" ht="18.75" customHeight="1">
      <c r="A6" s="3">
        <v>1</v>
      </c>
      <c r="B6" s="6" t="s">
        <v>14</v>
      </c>
      <c r="C6" s="63">
        <v>3015.68</v>
      </c>
      <c r="D6" s="63">
        <v>4256.76</v>
      </c>
      <c r="E6" s="18">
        <v>4931.3500000000004</v>
      </c>
      <c r="F6" s="18">
        <v>5317.07</v>
      </c>
      <c r="G6" s="18">
        <v>6683.22</v>
      </c>
      <c r="H6" s="85">
        <v>953</v>
      </c>
      <c r="I6" s="85">
        <v>1280</v>
      </c>
      <c r="J6" s="18">
        <v>1770</v>
      </c>
      <c r="K6" s="18">
        <v>1690</v>
      </c>
      <c r="L6" s="18">
        <v>1300</v>
      </c>
      <c r="M6" s="439">
        <f t="shared" ref="M6:N17" si="0">+H6/C6*100</f>
        <v>31.601496179966045</v>
      </c>
      <c r="N6" s="439">
        <f t="shared" si="0"/>
        <v>30.069818359503468</v>
      </c>
      <c r="O6" s="439">
        <f t="shared" ref="O6:O17" si="1">+J6/E6*100</f>
        <v>35.892808257373737</v>
      </c>
      <c r="P6" s="439">
        <f t="shared" ref="P6:P17" si="2">+K6/F6*100</f>
        <v>31.784422623738262</v>
      </c>
      <c r="Q6" s="439">
        <f t="shared" ref="Q6:Q17" si="3">+L6/G6*100</f>
        <v>19.451701425360827</v>
      </c>
    </row>
    <row r="7" spans="1:17" ht="18.75" customHeight="1">
      <c r="A7" s="3">
        <v>2</v>
      </c>
      <c r="B7" s="6" t="s">
        <v>15</v>
      </c>
      <c r="C7" s="284">
        <v>14432.3</v>
      </c>
      <c r="D7" s="284">
        <v>16634.099999999999</v>
      </c>
      <c r="E7" s="18">
        <v>19862.009999999998</v>
      </c>
      <c r="F7" s="18">
        <v>26443.31</v>
      </c>
      <c r="G7" s="18">
        <v>33375.68</v>
      </c>
      <c r="H7" s="85">
        <v>6056</v>
      </c>
      <c r="I7" s="85">
        <v>6760</v>
      </c>
      <c r="J7" s="18">
        <v>9160</v>
      </c>
      <c r="K7" s="18">
        <v>14120</v>
      </c>
      <c r="L7" s="18">
        <v>13700</v>
      </c>
      <c r="M7" s="439">
        <f t="shared" si="0"/>
        <v>41.961433728511743</v>
      </c>
      <c r="N7" s="439">
        <f t="shared" si="0"/>
        <v>40.639409405979286</v>
      </c>
      <c r="O7" s="439">
        <f t="shared" si="1"/>
        <v>46.118192468939448</v>
      </c>
      <c r="P7" s="439">
        <f t="shared" si="2"/>
        <v>53.397248680290019</v>
      </c>
      <c r="Q7" s="439">
        <f t="shared" si="3"/>
        <v>41.047852807792978</v>
      </c>
    </row>
    <row r="8" spans="1:17" ht="18.75" customHeight="1">
      <c r="A8" s="3">
        <v>3</v>
      </c>
      <c r="B8" s="6" t="s">
        <v>16</v>
      </c>
      <c r="C8" s="63">
        <v>9719.19</v>
      </c>
      <c r="D8" s="63">
        <v>11534.8</v>
      </c>
      <c r="E8" s="18">
        <v>13164.12</v>
      </c>
      <c r="F8" s="18">
        <v>15261.82</v>
      </c>
      <c r="G8" s="18">
        <v>15747.62</v>
      </c>
      <c r="H8" s="85">
        <v>3736</v>
      </c>
      <c r="I8" s="85">
        <v>4570</v>
      </c>
      <c r="J8" s="18">
        <v>4910</v>
      </c>
      <c r="K8" s="18">
        <v>5660</v>
      </c>
      <c r="L8" s="18">
        <v>6170</v>
      </c>
      <c r="M8" s="439">
        <f t="shared" si="0"/>
        <v>38.439417276542592</v>
      </c>
      <c r="N8" s="439">
        <f t="shared" si="0"/>
        <v>39.61923917189722</v>
      </c>
      <c r="O8" s="439">
        <f t="shared" si="1"/>
        <v>37.29835340303795</v>
      </c>
      <c r="P8" s="439">
        <f t="shared" si="2"/>
        <v>37.08600940123786</v>
      </c>
      <c r="Q8" s="439">
        <f t="shared" si="3"/>
        <v>39.18052378708655</v>
      </c>
    </row>
    <row r="9" spans="1:17" ht="18.75" customHeight="1">
      <c r="A9" s="3">
        <v>4</v>
      </c>
      <c r="B9" s="6" t="s">
        <v>60</v>
      </c>
      <c r="C9" s="63">
        <v>15906.32</v>
      </c>
      <c r="D9" s="63">
        <v>17011.68</v>
      </c>
      <c r="E9" s="18">
        <v>21606.78</v>
      </c>
      <c r="F9" s="18">
        <v>24601.98</v>
      </c>
      <c r="G9" s="18">
        <v>30117.37</v>
      </c>
      <c r="H9" s="85">
        <v>5108</v>
      </c>
      <c r="I9" s="85">
        <v>5609</v>
      </c>
      <c r="J9" s="18">
        <v>6900</v>
      </c>
      <c r="K9" s="18">
        <v>8090</v>
      </c>
      <c r="L9" s="18">
        <v>8730</v>
      </c>
      <c r="M9" s="439">
        <f t="shared" si="0"/>
        <v>32.113021742301171</v>
      </c>
      <c r="N9" s="439">
        <f t="shared" si="0"/>
        <v>32.97146431157887</v>
      </c>
      <c r="O9" s="439">
        <f t="shared" si="1"/>
        <v>31.934420584649821</v>
      </c>
      <c r="P9" s="439">
        <f t="shared" si="2"/>
        <v>32.883532138470159</v>
      </c>
      <c r="Q9" s="439">
        <f t="shared" si="3"/>
        <v>28.986594779026191</v>
      </c>
    </row>
    <row r="10" spans="1:17" ht="18.75" customHeight="1">
      <c r="A10" s="3">
        <v>5</v>
      </c>
      <c r="B10" s="6" t="s">
        <v>18</v>
      </c>
      <c r="C10" s="63">
        <v>3408.4</v>
      </c>
      <c r="D10" s="63">
        <v>4090.16</v>
      </c>
      <c r="E10" s="18">
        <v>4609.07</v>
      </c>
      <c r="F10" s="18">
        <v>5999.86</v>
      </c>
      <c r="G10" s="18">
        <v>6725.34</v>
      </c>
      <c r="H10" s="85">
        <v>1179</v>
      </c>
      <c r="I10" s="85">
        <v>1450</v>
      </c>
      <c r="J10" s="18">
        <v>1540</v>
      </c>
      <c r="K10" s="18">
        <v>2120</v>
      </c>
      <c r="L10" s="18">
        <v>2230</v>
      </c>
      <c r="M10" s="439">
        <f t="shared" si="0"/>
        <v>34.591010444783478</v>
      </c>
      <c r="N10" s="439">
        <f t="shared" si="0"/>
        <v>35.450935904707883</v>
      </c>
      <c r="O10" s="439">
        <f t="shared" si="1"/>
        <v>33.412380371745279</v>
      </c>
      <c r="P10" s="439">
        <f t="shared" si="2"/>
        <v>35.334157797015266</v>
      </c>
      <c r="Q10" s="439">
        <f t="shared" si="3"/>
        <v>33.158174902681495</v>
      </c>
    </row>
    <row r="11" spans="1:17" ht="18.75" customHeight="1">
      <c r="A11" s="3">
        <v>6</v>
      </c>
      <c r="B11" s="6" t="s">
        <v>19</v>
      </c>
      <c r="C11" s="63">
        <v>2672.06</v>
      </c>
      <c r="D11" s="63">
        <v>3263.99</v>
      </c>
      <c r="E11" s="18">
        <v>3690.32</v>
      </c>
      <c r="F11" s="18">
        <v>4629.12</v>
      </c>
      <c r="G11" s="18">
        <v>5847.32</v>
      </c>
      <c r="H11" s="85">
        <v>1039</v>
      </c>
      <c r="I11" s="85">
        <v>1220</v>
      </c>
      <c r="J11" s="18">
        <v>1400</v>
      </c>
      <c r="K11" s="18">
        <v>1970</v>
      </c>
      <c r="L11" s="18">
        <v>2420</v>
      </c>
      <c r="M11" s="439">
        <f t="shared" si="0"/>
        <v>38.883857398411713</v>
      </c>
      <c r="N11" s="439">
        <f t="shared" si="0"/>
        <v>37.377565494992325</v>
      </c>
      <c r="O11" s="439">
        <f t="shared" si="1"/>
        <v>37.937089466496126</v>
      </c>
      <c r="P11" s="439">
        <f t="shared" si="2"/>
        <v>42.556684639845152</v>
      </c>
      <c r="Q11" s="439">
        <f t="shared" si="3"/>
        <v>41.386481328198222</v>
      </c>
    </row>
    <row r="12" spans="1:17" ht="18.75" customHeight="1">
      <c r="A12" s="3">
        <v>7</v>
      </c>
      <c r="B12" s="6" t="s">
        <v>20</v>
      </c>
      <c r="C12" s="63">
        <v>2339.2600000000002</v>
      </c>
      <c r="D12" s="63">
        <v>2752.83</v>
      </c>
      <c r="E12" s="18">
        <v>4035.83</v>
      </c>
      <c r="F12" s="18">
        <v>4061.53</v>
      </c>
      <c r="G12" s="18">
        <v>4107.3599999999997</v>
      </c>
      <c r="H12" s="85">
        <v>940</v>
      </c>
      <c r="I12" s="85">
        <v>1150</v>
      </c>
      <c r="J12" s="18">
        <v>1470</v>
      </c>
      <c r="K12" s="18">
        <v>1700</v>
      </c>
      <c r="L12" s="18">
        <v>1410</v>
      </c>
      <c r="M12" s="439">
        <f t="shared" si="0"/>
        <v>40.183647820250847</v>
      </c>
      <c r="N12" s="439">
        <f t="shared" si="0"/>
        <v>41.775191348539501</v>
      </c>
      <c r="O12" s="439">
        <f t="shared" si="1"/>
        <v>36.423734399119887</v>
      </c>
      <c r="P12" s="439">
        <f t="shared" si="2"/>
        <v>41.856147806368533</v>
      </c>
      <c r="Q12" s="439">
        <f t="shared" si="3"/>
        <v>34.328619843403061</v>
      </c>
    </row>
    <row r="13" spans="1:17" ht="18.75" customHeight="1">
      <c r="A13" s="3">
        <v>8</v>
      </c>
      <c r="B13" s="6" t="s">
        <v>21</v>
      </c>
      <c r="C13" s="63">
        <v>3483.16</v>
      </c>
      <c r="D13" s="63">
        <v>3846.57</v>
      </c>
      <c r="E13" s="18">
        <v>4520.13</v>
      </c>
      <c r="F13" s="18">
        <v>5921.26</v>
      </c>
      <c r="G13" s="18">
        <v>6359.47</v>
      </c>
      <c r="H13" s="85">
        <v>1053</v>
      </c>
      <c r="I13" s="85">
        <v>1120</v>
      </c>
      <c r="J13" s="18">
        <v>1170</v>
      </c>
      <c r="K13" s="18">
        <v>1700</v>
      </c>
      <c r="L13" s="18">
        <v>1650</v>
      </c>
      <c r="M13" s="439">
        <f t="shared" si="0"/>
        <v>30.231169397903056</v>
      </c>
      <c r="N13" s="439">
        <f t="shared" si="0"/>
        <v>29.116849556877945</v>
      </c>
      <c r="O13" s="439">
        <f t="shared" si="1"/>
        <v>25.884211294807891</v>
      </c>
      <c r="P13" s="439">
        <f t="shared" si="2"/>
        <v>28.710105619412086</v>
      </c>
      <c r="Q13" s="439">
        <f t="shared" si="3"/>
        <v>25.945558356278113</v>
      </c>
    </row>
    <row r="14" spans="1:17" ht="18.75" customHeight="1">
      <c r="A14" s="3">
        <v>9</v>
      </c>
      <c r="B14" s="6" t="s">
        <v>22</v>
      </c>
      <c r="C14" s="63">
        <v>1562.34</v>
      </c>
      <c r="D14" s="63">
        <v>1992.58</v>
      </c>
      <c r="E14" s="18">
        <v>2514.5300000000002</v>
      </c>
      <c r="F14" s="18">
        <v>2468.73</v>
      </c>
      <c r="G14" s="18">
        <v>3393.47</v>
      </c>
      <c r="H14" s="85">
        <v>663</v>
      </c>
      <c r="I14" s="85">
        <v>820</v>
      </c>
      <c r="J14" s="18">
        <v>1010</v>
      </c>
      <c r="K14" s="18">
        <v>1350</v>
      </c>
      <c r="L14" s="18">
        <v>1400</v>
      </c>
      <c r="M14" s="439">
        <f t="shared" si="0"/>
        <v>42.436345481777337</v>
      </c>
      <c r="N14" s="439">
        <f t="shared" si="0"/>
        <v>41.152676429553651</v>
      </c>
      <c r="O14" s="439">
        <f t="shared" si="1"/>
        <v>40.16655199977729</v>
      </c>
      <c r="P14" s="439">
        <f t="shared" si="2"/>
        <v>54.683987313314944</v>
      </c>
      <c r="Q14" s="439">
        <f t="shared" si="3"/>
        <v>41.255705811455535</v>
      </c>
    </row>
    <row r="15" spans="1:17" ht="18.75" customHeight="1">
      <c r="A15" s="3">
        <v>10</v>
      </c>
      <c r="B15" s="6" t="s">
        <v>23</v>
      </c>
      <c r="C15" s="63">
        <v>3996.31</v>
      </c>
      <c r="D15" s="63">
        <v>4379.1899999999996</v>
      </c>
      <c r="E15" s="18">
        <v>5757.5</v>
      </c>
      <c r="F15" s="18">
        <v>5624.46</v>
      </c>
      <c r="G15" s="18">
        <v>6859.45</v>
      </c>
      <c r="H15" s="85">
        <v>1399</v>
      </c>
      <c r="I15" s="85">
        <v>1680</v>
      </c>
      <c r="J15" s="18">
        <v>2180</v>
      </c>
      <c r="K15" s="18">
        <v>2400</v>
      </c>
      <c r="L15" s="18">
        <v>2400</v>
      </c>
      <c r="M15" s="439">
        <f t="shared" si="0"/>
        <v>35.007294228926185</v>
      </c>
      <c r="N15" s="439">
        <f t="shared" si="0"/>
        <v>38.363258958848554</v>
      </c>
      <c r="O15" s="439">
        <f t="shared" si="1"/>
        <v>37.863656100738169</v>
      </c>
      <c r="P15" s="439">
        <f t="shared" si="2"/>
        <v>42.670763059920418</v>
      </c>
      <c r="Q15" s="439">
        <f t="shared" si="3"/>
        <v>34.988227919148038</v>
      </c>
    </row>
    <row r="16" spans="1:17" ht="18.75" customHeight="1">
      <c r="A16" s="3">
        <v>11</v>
      </c>
      <c r="B16" s="6" t="s">
        <v>24</v>
      </c>
      <c r="C16" s="63">
        <v>10486.56</v>
      </c>
      <c r="D16" s="63">
        <v>11564.65</v>
      </c>
      <c r="E16" s="18">
        <v>14196.96</v>
      </c>
      <c r="F16" s="18">
        <v>16590.759999999998</v>
      </c>
      <c r="G16" s="18">
        <v>19366.91</v>
      </c>
      <c r="H16" s="85">
        <v>3726</v>
      </c>
      <c r="I16" s="85">
        <v>4190</v>
      </c>
      <c r="J16" s="18">
        <v>5620</v>
      </c>
      <c r="K16" s="18">
        <v>6830</v>
      </c>
      <c r="L16" s="18">
        <v>8040</v>
      </c>
      <c r="M16" s="439">
        <f t="shared" si="0"/>
        <v>35.531194214308606</v>
      </c>
      <c r="N16" s="439">
        <f t="shared" si="0"/>
        <v>36.231100811524776</v>
      </c>
      <c r="O16" s="439">
        <f t="shared" si="1"/>
        <v>39.585939525081429</v>
      </c>
      <c r="P16" s="439">
        <f t="shared" si="2"/>
        <v>41.167493231172053</v>
      </c>
      <c r="Q16" s="439">
        <f t="shared" si="3"/>
        <v>41.514108342528573</v>
      </c>
    </row>
    <row r="17" spans="1:17" s="87" customFormat="1" ht="18.75" customHeight="1">
      <c r="A17" s="84"/>
      <c r="B17" s="4" t="s">
        <v>25</v>
      </c>
      <c r="C17" s="86">
        <f t="shared" ref="C17:I17" si="4">SUM(C6:C16)</f>
        <v>71021.579999999987</v>
      </c>
      <c r="D17" s="86">
        <f t="shared" si="4"/>
        <v>81327.31</v>
      </c>
      <c r="E17" s="78">
        <f t="shared" si="4"/>
        <v>98888.6</v>
      </c>
      <c r="F17" s="78">
        <f t="shared" si="4"/>
        <v>116919.89999999998</v>
      </c>
      <c r="G17" s="78">
        <f t="shared" si="4"/>
        <v>138583.21</v>
      </c>
      <c r="H17" s="86">
        <f t="shared" si="4"/>
        <v>25852</v>
      </c>
      <c r="I17" s="86">
        <f t="shared" si="4"/>
        <v>29849</v>
      </c>
      <c r="J17" s="78">
        <f>SUM(J6:J16)</f>
        <v>37130</v>
      </c>
      <c r="K17" s="78">
        <f>SUM(K6:K16)</f>
        <v>47630</v>
      </c>
      <c r="L17" s="78">
        <f>SUM(L6:L16)</f>
        <v>49450</v>
      </c>
      <c r="M17" s="440">
        <f t="shared" si="0"/>
        <v>36.40020399433525</v>
      </c>
      <c r="N17" s="440">
        <f t="shared" si="0"/>
        <v>36.702308240614379</v>
      </c>
      <c r="O17" s="440">
        <f t="shared" si="1"/>
        <v>37.547300699979566</v>
      </c>
      <c r="P17" s="440">
        <f t="shared" si="2"/>
        <v>40.737291085606472</v>
      </c>
      <c r="Q17" s="440">
        <f t="shared" si="3"/>
        <v>35.682533259259905</v>
      </c>
    </row>
    <row r="18" spans="1:17" ht="18.75" customHeight="1">
      <c r="A18" s="3"/>
      <c r="B18" s="4" t="s">
        <v>26</v>
      </c>
      <c r="C18" s="86"/>
      <c r="D18" s="86"/>
      <c r="E18" s="18"/>
      <c r="F18" s="18"/>
      <c r="G18" s="18"/>
      <c r="H18" s="86"/>
      <c r="I18" s="86"/>
      <c r="J18" s="78"/>
      <c r="K18" s="78"/>
      <c r="L18" s="78"/>
      <c r="M18" s="439"/>
      <c r="N18" s="439"/>
      <c r="O18" s="463"/>
      <c r="P18" s="463"/>
      <c r="Q18" s="463"/>
    </row>
    <row r="19" spans="1:17" ht="18.75" customHeight="1">
      <c r="A19" s="3">
        <v>12</v>
      </c>
      <c r="B19" s="6" t="s">
        <v>27</v>
      </c>
      <c r="C19" s="63">
        <v>69678.210000000006</v>
      </c>
      <c r="D19" s="63">
        <v>75634.05</v>
      </c>
      <c r="E19" s="18">
        <v>78830.81</v>
      </c>
      <c r="F19" s="18">
        <v>92972.36</v>
      </c>
      <c r="G19" s="18">
        <v>118832.27</v>
      </c>
      <c r="H19" s="85">
        <v>24471</v>
      </c>
      <c r="I19" s="85">
        <v>31440</v>
      </c>
      <c r="J19" s="18">
        <v>30280</v>
      </c>
      <c r="K19" s="18">
        <v>44060</v>
      </c>
      <c r="L19" s="18">
        <v>48940</v>
      </c>
      <c r="M19" s="439">
        <f t="shared" ref="M19:N36" si="5">+H19/C19*100</f>
        <v>35.120018152016243</v>
      </c>
      <c r="N19" s="439">
        <f t="shared" si="5"/>
        <v>41.568579231179612</v>
      </c>
      <c r="O19" s="439">
        <f t="shared" ref="O19:O36" si="6">+J19/E19*100</f>
        <v>38.411377480454661</v>
      </c>
      <c r="P19" s="439">
        <f t="shared" ref="P19:P36" si="7">+K19/F19*100</f>
        <v>47.390428725268457</v>
      </c>
      <c r="Q19" s="439">
        <f t="shared" ref="Q19:Q36" si="8">+L19/G19*100</f>
        <v>41.184099234997362</v>
      </c>
    </row>
    <row r="20" spans="1:17" ht="18.75" customHeight="1">
      <c r="A20" s="3">
        <v>13</v>
      </c>
      <c r="B20" s="6" t="s">
        <v>28</v>
      </c>
      <c r="C20" s="63">
        <v>29939.34</v>
      </c>
      <c r="D20" s="63">
        <v>35498.980000000003</v>
      </c>
      <c r="E20" s="18">
        <v>40813.040000000001</v>
      </c>
      <c r="F20" s="18">
        <v>48514.49</v>
      </c>
      <c r="G20" s="18">
        <v>62417.97</v>
      </c>
      <c r="H20" s="85">
        <v>13815</v>
      </c>
      <c r="I20" s="85">
        <v>16340</v>
      </c>
      <c r="J20" s="18">
        <v>17870</v>
      </c>
      <c r="K20" s="18">
        <v>23790</v>
      </c>
      <c r="L20" s="18">
        <v>27260</v>
      </c>
      <c r="M20" s="439">
        <f t="shared" si="5"/>
        <v>46.14330175615094</v>
      </c>
      <c r="N20" s="439">
        <f t="shared" si="5"/>
        <v>46.029491551588237</v>
      </c>
      <c r="O20" s="439">
        <f t="shared" si="6"/>
        <v>43.785025570258917</v>
      </c>
      <c r="P20" s="439">
        <f t="shared" si="7"/>
        <v>49.036895987157649</v>
      </c>
      <c r="Q20" s="439">
        <f t="shared" si="8"/>
        <v>43.673320359505439</v>
      </c>
    </row>
    <row r="21" spans="1:17" ht="18.75" customHeight="1">
      <c r="A21" s="3">
        <v>14</v>
      </c>
      <c r="B21" s="6" t="s">
        <v>29</v>
      </c>
      <c r="C21" s="63">
        <v>13970.54</v>
      </c>
      <c r="D21" s="63">
        <v>17226.07</v>
      </c>
      <c r="E21" s="18">
        <v>20910.439999999999</v>
      </c>
      <c r="F21" s="18">
        <v>22876.15</v>
      </c>
      <c r="G21" s="18">
        <v>30725.96</v>
      </c>
      <c r="H21" s="85">
        <v>6947</v>
      </c>
      <c r="I21" s="85">
        <v>8870</v>
      </c>
      <c r="J21" s="18">
        <v>11680</v>
      </c>
      <c r="K21" s="18">
        <v>14630</v>
      </c>
      <c r="L21" s="18">
        <v>16640</v>
      </c>
      <c r="M21" s="439">
        <f t="shared" si="5"/>
        <v>49.72606642262933</v>
      </c>
      <c r="N21" s="439">
        <f t="shared" si="5"/>
        <v>51.491721559241313</v>
      </c>
      <c r="O21" s="439">
        <f t="shared" si="6"/>
        <v>55.857265557300572</v>
      </c>
      <c r="P21" s="439">
        <f t="shared" si="7"/>
        <v>63.953069026038037</v>
      </c>
      <c r="Q21" s="439">
        <f t="shared" si="8"/>
        <v>54.156159807537342</v>
      </c>
    </row>
    <row r="22" spans="1:17" s="20" customFormat="1" ht="18.75" customHeight="1">
      <c r="A22" s="3">
        <v>15</v>
      </c>
      <c r="B22" s="6" t="s">
        <v>30</v>
      </c>
      <c r="C22" s="63">
        <v>2826.47</v>
      </c>
      <c r="D22" s="63">
        <v>3647.92</v>
      </c>
      <c r="E22" s="18">
        <v>4556.07</v>
      </c>
      <c r="F22" s="18">
        <v>5277.39</v>
      </c>
      <c r="G22" s="18">
        <v>5824.92</v>
      </c>
      <c r="H22" s="85">
        <v>1124</v>
      </c>
      <c r="I22" s="85">
        <v>1460</v>
      </c>
      <c r="J22" s="18">
        <v>1790</v>
      </c>
      <c r="K22" s="18">
        <v>2370</v>
      </c>
      <c r="L22" s="18">
        <v>2800</v>
      </c>
      <c r="M22" s="439">
        <f t="shared" si="5"/>
        <v>39.766917745456347</v>
      </c>
      <c r="N22" s="439">
        <f t="shared" si="5"/>
        <v>40.022807517708721</v>
      </c>
      <c r="O22" s="439">
        <f t="shared" si="6"/>
        <v>39.288246229755032</v>
      </c>
      <c r="P22" s="439">
        <f t="shared" si="7"/>
        <v>44.908562755452976</v>
      </c>
      <c r="Q22" s="439">
        <f t="shared" si="8"/>
        <v>48.069329707532468</v>
      </c>
    </row>
    <row r="23" spans="1:17" ht="18.75" customHeight="1">
      <c r="A23" s="3">
        <v>16</v>
      </c>
      <c r="B23" s="6" t="s">
        <v>31</v>
      </c>
      <c r="C23" s="63">
        <v>39734.589999999997</v>
      </c>
      <c r="D23" s="63">
        <v>48031.34</v>
      </c>
      <c r="E23" s="18">
        <v>55750.46</v>
      </c>
      <c r="F23" s="18">
        <v>65157.7</v>
      </c>
      <c r="G23" s="18">
        <v>73856.38</v>
      </c>
      <c r="H23" s="85">
        <v>14893</v>
      </c>
      <c r="I23" s="85">
        <v>18180</v>
      </c>
      <c r="J23" s="18">
        <v>23170</v>
      </c>
      <c r="K23" s="18">
        <v>29030</v>
      </c>
      <c r="L23" s="18">
        <v>29970</v>
      </c>
      <c r="M23" s="439">
        <f t="shared" si="5"/>
        <v>37.481197113145001</v>
      </c>
      <c r="N23" s="439">
        <f t="shared" si="5"/>
        <v>37.850286916833888</v>
      </c>
      <c r="O23" s="439">
        <f t="shared" si="6"/>
        <v>41.560195198389394</v>
      </c>
      <c r="P23" s="439">
        <f t="shared" si="7"/>
        <v>44.553444949714311</v>
      </c>
      <c r="Q23" s="439">
        <f t="shared" si="8"/>
        <v>40.578755687727991</v>
      </c>
    </row>
    <row r="24" spans="1:17" ht="18.75" customHeight="1">
      <c r="A24" s="3">
        <v>17</v>
      </c>
      <c r="B24" s="6" t="s">
        <v>32</v>
      </c>
      <c r="C24" s="63">
        <v>21240</v>
      </c>
      <c r="D24" s="63">
        <v>25369</v>
      </c>
      <c r="E24" s="18">
        <v>31305</v>
      </c>
      <c r="F24" s="18">
        <v>33063</v>
      </c>
      <c r="G24" s="18">
        <v>40276</v>
      </c>
      <c r="H24" s="85">
        <v>7343</v>
      </c>
      <c r="I24" s="85">
        <v>9810</v>
      </c>
      <c r="J24" s="18">
        <v>13360</v>
      </c>
      <c r="K24" s="18">
        <v>15520</v>
      </c>
      <c r="L24" s="18">
        <v>16840</v>
      </c>
      <c r="M24" s="439">
        <f t="shared" si="5"/>
        <v>34.571563088512242</v>
      </c>
      <c r="N24" s="439">
        <f t="shared" si="5"/>
        <v>38.669241988253376</v>
      </c>
      <c r="O24" s="439">
        <f t="shared" si="6"/>
        <v>42.676888675930364</v>
      </c>
      <c r="P24" s="439">
        <f t="shared" si="7"/>
        <v>46.940688987690166</v>
      </c>
      <c r="Q24" s="439">
        <f t="shared" si="8"/>
        <v>41.811500645545735</v>
      </c>
    </row>
    <row r="25" spans="1:17" ht="18.75" customHeight="1">
      <c r="A25" s="3">
        <v>18</v>
      </c>
      <c r="B25" s="6" t="s">
        <v>33</v>
      </c>
      <c r="C25" s="63">
        <v>14013.17</v>
      </c>
      <c r="D25" s="63">
        <v>16346.39</v>
      </c>
      <c r="E25" s="18">
        <v>18151.3</v>
      </c>
      <c r="F25" s="18">
        <v>20916.599999999999</v>
      </c>
      <c r="G25" s="18">
        <v>30499.64</v>
      </c>
      <c r="H25" s="85">
        <v>7984</v>
      </c>
      <c r="I25" s="85">
        <v>9870</v>
      </c>
      <c r="J25" s="18">
        <v>10040</v>
      </c>
      <c r="K25" s="18">
        <v>12300</v>
      </c>
      <c r="L25" s="18">
        <v>14480</v>
      </c>
      <c r="M25" s="439">
        <f t="shared" si="5"/>
        <v>56.974974256360269</v>
      </c>
      <c r="N25" s="439">
        <f t="shared" si="5"/>
        <v>60.380304152782358</v>
      </c>
      <c r="O25" s="439">
        <f t="shared" si="6"/>
        <v>55.312842606314703</v>
      </c>
      <c r="P25" s="439">
        <f t="shared" si="7"/>
        <v>58.804968302687818</v>
      </c>
      <c r="Q25" s="439">
        <f t="shared" si="8"/>
        <v>47.475970208172953</v>
      </c>
    </row>
    <row r="26" spans="1:17" ht="18.75" customHeight="1">
      <c r="A26" s="3">
        <v>19</v>
      </c>
      <c r="B26" s="6" t="s">
        <v>34</v>
      </c>
      <c r="C26" s="63">
        <v>46780</v>
      </c>
      <c r="D26" s="63">
        <v>52261</v>
      </c>
      <c r="E26" s="18">
        <v>60655</v>
      </c>
      <c r="F26" s="18">
        <v>69127</v>
      </c>
      <c r="G26" s="18">
        <v>80857</v>
      </c>
      <c r="H26" s="85">
        <v>17644</v>
      </c>
      <c r="I26" s="85">
        <v>20440</v>
      </c>
      <c r="J26" s="18">
        <v>25100</v>
      </c>
      <c r="K26" s="18">
        <v>28950</v>
      </c>
      <c r="L26" s="18">
        <v>32220</v>
      </c>
      <c r="M26" s="439">
        <f t="shared" si="5"/>
        <v>37.716973065412567</v>
      </c>
      <c r="N26" s="439">
        <f t="shared" si="5"/>
        <v>39.111383249459443</v>
      </c>
      <c r="O26" s="439">
        <f t="shared" si="6"/>
        <v>41.381584370620722</v>
      </c>
      <c r="P26" s="439">
        <f t="shared" si="7"/>
        <v>41.87943929289569</v>
      </c>
      <c r="Q26" s="439">
        <f t="shared" si="8"/>
        <v>39.848126940153605</v>
      </c>
    </row>
    <row r="27" spans="1:17" ht="18.75" customHeight="1">
      <c r="A27" s="3">
        <v>20</v>
      </c>
      <c r="B27" s="6" t="s">
        <v>35</v>
      </c>
      <c r="C27" s="63">
        <v>27259.37</v>
      </c>
      <c r="D27" s="63">
        <v>30903.15</v>
      </c>
      <c r="E27" s="18">
        <v>34068.44</v>
      </c>
      <c r="F27" s="18">
        <v>38790.239999999998</v>
      </c>
      <c r="G27" s="18">
        <v>50025.24</v>
      </c>
      <c r="H27" s="85">
        <v>9010</v>
      </c>
      <c r="I27" s="85">
        <v>10860</v>
      </c>
      <c r="J27" s="18">
        <v>12030</v>
      </c>
      <c r="K27" s="18">
        <v>14700</v>
      </c>
      <c r="L27" s="18">
        <v>19530</v>
      </c>
      <c r="M27" s="439">
        <f t="shared" si="5"/>
        <v>33.05285485321194</v>
      </c>
      <c r="N27" s="439">
        <f t="shared" si="5"/>
        <v>35.142048626110928</v>
      </c>
      <c r="O27" s="439">
        <f t="shared" si="6"/>
        <v>35.311273424905863</v>
      </c>
      <c r="P27" s="439">
        <f t="shared" si="7"/>
        <v>37.896130573051366</v>
      </c>
      <c r="Q27" s="439">
        <f t="shared" si="8"/>
        <v>39.040292460366011</v>
      </c>
    </row>
    <row r="28" spans="1:17" ht="18.75" customHeight="1">
      <c r="A28" s="3">
        <v>21</v>
      </c>
      <c r="B28" s="6" t="s">
        <v>36</v>
      </c>
      <c r="C28" s="63">
        <v>33590.75</v>
      </c>
      <c r="D28" s="63">
        <v>38089.22</v>
      </c>
      <c r="E28" s="18">
        <v>47638.66</v>
      </c>
      <c r="F28" s="18">
        <v>57528.05</v>
      </c>
      <c r="G28" s="18">
        <v>65845.64</v>
      </c>
      <c r="H28" s="85">
        <v>12600</v>
      </c>
      <c r="I28" s="85">
        <v>14690</v>
      </c>
      <c r="J28" s="18">
        <v>17630</v>
      </c>
      <c r="K28" s="18">
        <v>25220</v>
      </c>
      <c r="L28" s="18">
        <v>27170</v>
      </c>
      <c r="M28" s="439">
        <f t="shared" si="5"/>
        <v>37.510326503576138</v>
      </c>
      <c r="N28" s="439">
        <f t="shared" si="5"/>
        <v>38.567342675959232</v>
      </c>
      <c r="O28" s="439">
        <f t="shared" si="6"/>
        <v>37.007757984796378</v>
      </c>
      <c r="P28" s="439">
        <f t="shared" si="7"/>
        <v>43.83948352151689</v>
      </c>
      <c r="Q28" s="439">
        <f t="shared" si="8"/>
        <v>41.263172474289874</v>
      </c>
    </row>
    <row r="29" spans="1:17" ht="18.75" customHeight="1">
      <c r="A29" s="3">
        <v>22</v>
      </c>
      <c r="B29" s="6" t="s">
        <v>37</v>
      </c>
      <c r="C29" s="63">
        <v>77494.820000000007</v>
      </c>
      <c r="D29" s="63">
        <v>95847.679999999993</v>
      </c>
      <c r="E29" s="18">
        <v>113605.54</v>
      </c>
      <c r="F29" s="18">
        <v>125381.73</v>
      </c>
      <c r="G29" s="18">
        <v>146731</v>
      </c>
      <c r="H29" s="85">
        <v>29721</v>
      </c>
      <c r="I29" s="85">
        <v>36500</v>
      </c>
      <c r="J29" s="18">
        <v>47360</v>
      </c>
      <c r="K29" s="18">
        <v>58700</v>
      </c>
      <c r="L29" s="18">
        <v>66750</v>
      </c>
      <c r="M29" s="439">
        <f t="shared" si="5"/>
        <v>38.352240833645396</v>
      </c>
      <c r="N29" s="439">
        <f t="shared" si="5"/>
        <v>38.081255592206304</v>
      </c>
      <c r="O29" s="439">
        <f t="shared" si="6"/>
        <v>41.68810781586884</v>
      </c>
      <c r="P29" s="439">
        <f t="shared" si="7"/>
        <v>46.817028286338051</v>
      </c>
      <c r="Q29" s="439">
        <f t="shared" si="8"/>
        <v>45.49140944994582</v>
      </c>
    </row>
    <row r="30" spans="1:17" ht="18.75" customHeight="1">
      <c r="A30" s="3">
        <v>23</v>
      </c>
      <c r="B30" s="6" t="s">
        <v>104</v>
      </c>
      <c r="C30" s="63">
        <v>20999.360000000001</v>
      </c>
      <c r="D30" s="63">
        <v>25180.26</v>
      </c>
      <c r="E30" s="18">
        <v>29042.63</v>
      </c>
      <c r="F30" s="18">
        <v>33967.74</v>
      </c>
      <c r="G30" s="18">
        <v>42640.36</v>
      </c>
      <c r="H30" s="85">
        <v>8196</v>
      </c>
      <c r="I30" s="85">
        <v>11090</v>
      </c>
      <c r="J30" s="18">
        <v>12520</v>
      </c>
      <c r="K30" s="18">
        <v>16790</v>
      </c>
      <c r="L30" s="18">
        <v>18010</v>
      </c>
      <c r="M30" s="439">
        <f t="shared" si="5"/>
        <v>39.029760906999066</v>
      </c>
      <c r="N30" s="439">
        <f t="shared" si="5"/>
        <v>44.042436416462735</v>
      </c>
      <c r="O30" s="439">
        <f t="shared" si="6"/>
        <v>43.109043499159682</v>
      </c>
      <c r="P30" s="439">
        <f t="shared" si="7"/>
        <v>49.429252579064723</v>
      </c>
      <c r="Q30" s="439">
        <f t="shared" si="8"/>
        <v>42.236979237511129</v>
      </c>
    </row>
    <row r="31" spans="1:17" s="20" customFormat="1" ht="18.75" customHeight="1">
      <c r="A31" s="3">
        <v>24</v>
      </c>
      <c r="B31" s="6" t="s">
        <v>39</v>
      </c>
      <c r="C31" s="63">
        <v>25287.31</v>
      </c>
      <c r="D31" s="63">
        <v>27481.99</v>
      </c>
      <c r="E31" s="18">
        <v>29603.19</v>
      </c>
      <c r="F31" s="18">
        <v>35349.67</v>
      </c>
      <c r="G31" s="18">
        <v>40908.44</v>
      </c>
      <c r="H31" s="85">
        <v>4991</v>
      </c>
      <c r="I31" s="85">
        <v>6860</v>
      </c>
      <c r="J31" s="18">
        <v>7110</v>
      </c>
      <c r="K31" s="18">
        <v>10920</v>
      </c>
      <c r="L31" s="18">
        <v>13110</v>
      </c>
      <c r="M31" s="439">
        <f t="shared" si="5"/>
        <v>19.73717251854784</v>
      </c>
      <c r="N31" s="439">
        <f t="shared" si="5"/>
        <v>24.961802256677917</v>
      </c>
      <c r="O31" s="439">
        <f t="shared" si="6"/>
        <v>24.017681878202993</v>
      </c>
      <c r="P31" s="439">
        <f t="shared" si="7"/>
        <v>30.891377486692239</v>
      </c>
      <c r="Q31" s="439">
        <f t="shared" si="8"/>
        <v>32.047176572853914</v>
      </c>
    </row>
    <row r="32" spans="1:17" ht="18.75" customHeight="1">
      <c r="A32" s="3">
        <v>25</v>
      </c>
      <c r="B32" s="6" t="s">
        <v>40</v>
      </c>
      <c r="C32" s="63">
        <v>35970.89</v>
      </c>
      <c r="D32" s="63">
        <v>40535.61</v>
      </c>
      <c r="E32" s="18">
        <v>45804.74</v>
      </c>
      <c r="F32" s="18">
        <v>50386.080000000002</v>
      </c>
      <c r="G32" s="18">
        <v>60524.46</v>
      </c>
      <c r="H32" s="85">
        <v>14683</v>
      </c>
      <c r="I32" s="85">
        <v>19430</v>
      </c>
      <c r="J32" s="18">
        <v>21580</v>
      </c>
      <c r="K32" s="18">
        <v>24540</v>
      </c>
      <c r="L32" s="18">
        <v>27850</v>
      </c>
      <c r="M32" s="439">
        <f t="shared" si="5"/>
        <v>40.819117903393547</v>
      </c>
      <c r="N32" s="439">
        <f t="shared" si="5"/>
        <v>47.933162964613089</v>
      </c>
      <c r="O32" s="439">
        <f t="shared" si="6"/>
        <v>47.113028040329453</v>
      </c>
      <c r="P32" s="439">
        <f t="shared" si="7"/>
        <v>48.703927751474211</v>
      </c>
      <c r="Q32" s="439">
        <f t="shared" si="8"/>
        <v>46.014454321442933</v>
      </c>
    </row>
    <row r="33" spans="1:17" ht="18.75" customHeight="1">
      <c r="A33" s="3">
        <v>26</v>
      </c>
      <c r="B33" s="6" t="s">
        <v>41</v>
      </c>
      <c r="C33" s="63">
        <v>52218.8</v>
      </c>
      <c r="D33" s="63">
        <v>65524.5</v>
      </c>
      <c r="E33" s="18">
        <v>70238.490000000005</v>
      </c>
      <c r="F33" s="18">
        <v>87604.49</v>
      </c>
      <c r="G33" s="18">
        <v>98407.2</v>
      </c>
      <c r="H33" s="85">
        <v>19994</v>
      </c>
      <c r="I33" s="85">
        <v>26890</v>
      </c>
      <c r="J33" s="18">
        <v>29350</v>
      </c>
      <c r="K33" s="18">
        <v>38210</v>
      </c>
      <c r="L33" s="18">
        <v>43990</v>
      </c>
      <c r="M33" s="439">
        <f t="shared" si="5"/>
        <v>38.288892123143384</v>
      </c>
      <c r="N33" s="439">
        <f t="shared" si="5"/>
        <v>41.038084991110196</v>
      </c>
      <c r="O33" s="439">
        <f t="shared" si="6"/>
        <v>41.786205825324544</v>
      </c>
      <c r="P33" s="439">
        <f t="shared" si="7"/>
        <v>43.616485867333964</v>
      </c>
      <c r="Q33" s="439">
        <f t="shared" si="8"/>
        <v>44.702013673796223</v>
      </c>
    </row>
    <row r="34" spans="1:17" ht="18.75" customHeight="1">
      <c r="A34" s="3">
        <v>27</v>
      </c>
      <c r="B34" s="6" t="s">
        <v>42</v>
      </c>
      <c r="C34" s="63">
        <v>82915.55</v>
      </c>
      <c r="D34" s="63">
        <v>99121.62</v>
      </c>
      <c r="E34" s="18">
        <v>115406.69</v>
      </c>
      <c r="F34" s="18">
        <v>128916.63</v>
      </c>
      <c r="G34" s="18">
        <v>156845.41</v>
      </c>
      <c r="H34" s="85">
        <v>30006</v>
      </c>
      <c r="I34" s="85">
        <v>39510</v>
      </c>
      <c r="J34" s="18">
        <v>47250</v>
      </c>
      <c r="K34" s="18">
        <v>54430</v>
      </c>
      <c r="L34" s="18">
        <v>61600</v>
      </c>
      <c r="M34" s="439">
        <f t="shared" si="5"/>
        <v>36.188628067955889</v>
      </c>
      <c r="N34" s="439">
        <f t="shared" si="5"/>
        <v>39.860123351494863</v>
      </c>
      <c r="O34" s="439">
        <f t="shared" si="6"/>
        <v>40.942167217515724</v>
      </c>
      <c r="P34" s="439">
        <f t="shared" si="7"/>
        <v>42.221085053185149</v>
      </c>
      <c r="Q34" s="439">
        <f t="shared" si="8"/>
        <v>39.274340256434662</v>
      </c>
    </row>
    <row r="35" spans="1:17" ht="18.75" customHeight="1">
      <c r="A35" s="3">
        <v>28</v>
      </c>
      <c r="B35" s="13" t="s">
        <v>43</v>
      </c>
      <c r="C35" s="63">
        <v>42064.28</v>
      </c>
      <c r="D35" s="63">
        <v>56078.26</v>
      </c>
      <c r="E35" s="18">
        <v>62263.38</v>
      </c>
      <c r="F35" s="18">
        <v>67207.649999999994</v>
      </c>
      <c r="G35" s="18">
        <v>81572.63</v>
      </c>
      <c r="H35" s="85">
        <v>16192</v>
      </c>
      <c r="I35" s="85">
        <v>19470</v>
      </c>
      <c r="J35" s="18">
        <v>27700</v>
      </c>
      <c r="K35" s="18">
        <v>32450</v>
      </c>
      <c r="L35" s="18">
        <v>38930</v>
      </c>
      <c r="M35" s="439">
        <f t="shared" si="5"/>
        <v>38.49346761670472</v>
      </c>
      <c r="N35" s="439">
        <f t="shared" si="5"/>
        <v>34.719336869581902</v>
      </c>
      <c r="O35" s="439">
        <f t="shared" si="6"/>
        <v>44.488429635525733</v>
      </c>
      <c r="P35" s="439">
        <f t="shared" si="7"/>
        <v>48.283193951878992</v>
      </c>
      <c r="Q35" s="439">
        <f t="shared" si="8"/>
        <v>47.724340872667703</v>
      </c>
    </row>
    <row r="36" spans="1:17" s="87" customFormat="1" ht="18.75" customHeight="1">
      <c r="A36" s="84"/>
      <c r="B36" s="5" t="s">
        <v>44</v>
      </c>
      <c r="C36" s="78">
        <f t="shared" ref="C36:I36" si="9">SUM(C19:C35)</f>
        <v>635983.45000000007</v>
      </c>
      <c r="D36" s="78">
        <f t="shared" si="9"/>
        <v>752777.04</v>
      </c>
      <c r="E36" s="78">
        <f t="shared" si="9"/>
        <v>858643.87999999977</v>
      </c>
      <c r="F36" s="78">
        <f t="shared" si="9"/>
        <v>983036.97</v>
      </c>
      <c r="G36" s="78">
        <f t="shared" si="9"/>
        <v>1186790.52</v>
      </c>
      <c r="H36" s="86">
        <f t="shared" si="9"/>
        <v>239614</v>
      </c>
      <c r="I36" s="86">
        <f t="shared" si="9"/>
        <v>301710</v>
      </c>
      <c r="J36" s="78">
        <f>SUM(J19:J35)</f>
        <v>355820</v>
      </c>
      <c r="K36" s="78">
        <f>SUM(K19:K35)</f>
        <v>446610</v>
      </c>
      <c r="L36" s="78">
        <f>SUM(L19:L35)</f>
        <v>506090</v>
      </c>
      <c r="M36" s="440">
        <f t="shared" si="5"/>
        <v>37.676137641632025</v>
      </c>
      <c r="N36" s="440">
        <f t="shared" si="5"/>
        <v>40.079596476534405</v>
      </c>
      <c r="O36" s="440">
        <f t="shared" si="6"/>
        <v>41.439764294366142</v>
      </c>
      <c r="P36" s="440">
        <f t="shared" si="7"/>
        <v>45.431658587570723</v>
      </c>
      <c r="Q36" s="440">
        <f t="shared" si="8"/>
        <v>42.643582963571362</v>
      </c>
    </row>
    <row r="37" spans="1:17" s="87" customFormat="1" ht="18.75" customHeight="1">
      <c r="A37" s="84"/>
      <c r="B37" s="5" t="s">
        <v>45</v>
      </c>
      <c r="C37" s="78"/>
      <c r="D37" s="78"/>
      <c r="E37" s="18"/>
      <c r="F37" s="18"/>
      <c r="G37" s="18"/>
      <c r="H37" s="86"/>
      <c r="I37" s="86"/>
      <c r="J37" s="78"/>
      <c r="K37" s="78"/>
      <c r="L37" s="78"/>
      <c r="M37" s="439"/>
      <c r="N37" s="439"/>
      <c r="O37" s="464"/>
      <c r="P37" s="464"/>
      <c r="Q37" s="464"/>
    </row>
    <row r="38" spans="1:17" ht="18.75" customHeight="1">
      <c r="A38" s="3">
        <v>29</v>
      </c>
      <c r="B38" s="13" t="s">
        <v>46</v>
      </c>
      <c r="C38" s="63">
        <v>18159.63</v>
      </c>
      <c r="D38" s="63">
        <v>20361.310000000001</v>
      </c>
      <c r="E38" s="18">
        <v>24925.919999999998</v>
      </c>
      <c r="F38" s="18">
        <v>25524.32</v>
      </c>
      <c r="G38" s="18">
        <v>27920</v>
      </c>
      <c r="H38" s="85">
        <v>7353</v>
      </c>
      <c r="I38" s="85">
        <v>8920</v>
      </c>
      <c r="J38" s="18">
        <v>10510</v>
      </c>
      <c r="K38" s="18">
        <v>11650</v>
      </c>
      <c r="L38" s="18">
        <v>13560</v>
      </c>
      <c r="M38" s="439">
        <f t="shared" ref="M38:N40" si="10">+H38/C38*100</f>
        <v>40.490913085784236</v>
      </c>
      <c r="N38" s="439">
        <f t="shared" si="10"/>
        <v>43.808576167250536</v>
      </c>
      <c r="O38" s="439">
        <f t="shared" ref="O38:Q40" si="11">+J38/E38*100</f>
        <v>42.164943159570441</v>
      </c>
      <c r="P38" s="439">
        <f t="shared" si="11"/>
        <v>45.64274386154068</v>
      </c>
      <c r="Q38" s="439">
        <f t="shared" si="11"/>
        <v>48.567335243553003</v>
      </c>
    </row>
    <row r="39" spans="1:17" ht="18.75" customHeight="1">
      <c r="A39" s="3">
        <v>30</v>
      </c>
      <c r="B39" s="13" t="s">
        <v>47</v>
      </c>
      <c r="C39" s="63">
        <v>2595</v>
      </c>
      <c r="D39" s="63">
        <v>2957</v>
      </c>
      <c r="E39" s="18">
        <v>3586</v>
      </c>
      <c r="F39" s="18">
        <v>4091</v>
      </c>
      <c r="G39" s="18">
        <v>4828</v>
      </c>
      <c r="H39" s="85">
        <v>927</v>
      </c>
      <c r="I39" s="85">
        <v>1060</v>
      </c>
      <c r="J39" s="18">
        <v>1370</v>
      </c>
      <c r="K39" s="18">
        <v>1730</v>
      </c>
      <c r="L39" s="18">
        <v>2310</v>
      </c>
      <c r="M39" s="439">
        <f t="shared" si="10"/>
        <v>35.722543352601157</v>
      </c>
      <c r="N39" s="439">
        <f t="shared" si="10"/>
        <v>35.847142374027726</v>
      </c>
      <c r="O39" s="439">
        <f t="shared" si="11"/>
        <v>38.204127161182377</v>
      </c>
      <c r="P39" s="439">
        <f t="shared" si="11"/>
        <v>42.287949156685407</v>
      </c>
      <c r="Q39" s="439">
        <f t="shared" si="11"/>
        <v>47.845898922949459</v>
      </c>
    </row>
    <row r="40" spans="1:17" ht="18.75" customHeight="1">
      <c r="A40" s="3"/>
      <c r="B40" s="5" t="s">
        <v>105</v>
      </c>
      <c r="C40" s="78">
        <f t="shared" ref="C40:I40" si="12">SUM(C38:C39)</f>
        <v>20754.63</v>
      </c>
      <c r="D40" s="78">
        <f t="shared" si="12"/>
        <v>23318.31</v>
      </c>
      <c r="E40" s="78">
        <f t="shared" si="12"/>
        <v>28511.919999999998</v>
      </c>
      <c r="F40" s="78">
        <f t="shared" si="12"/>
        <v>29615.32</v>
      </c>
      <c r="G40" s="78">
        <f t="shared" si="12"/>
        <v>32748</v>
      </c>
      <c r="H40" s="86">
        <f t="shared" si="12"/>
        <v>8280</v>
      </c>
      <c r="I40" s="86">
        <f t="shared" si="12"/>
        <v>9980</v>
      </c>
      <c r="J40" s="78">
        <f>SUM(J38:J39)</f>
        <v>11880</v>
      </c>
      <c r="K40" s="78">
        <f>SUM(K38:K39)</f>
        <v>13380</v>
      </c>
      <c r="L40" s="78">
        <f>SUM(L38:L39)</f>
        <v>15870</v>
      </c>
      <c r="M40" s="440">
        <f t="shared" si="10"/>
        <v>39.894712649659375</v>
      </c>
      <c r="N40" s="440">
        <f t="shared" si="10"/>
        <v>42.798985003630193</v>
      </c>
      <c r="O40" s="440">
        <f t="shared" si="11"/>
        <v>41.666783576833829</v>
      </c>
      <c r="P40" s="440">
        <f t="shared" si="11"/>
        <v>45.179319352281183</v>
      </c>
      <c r="Q40" s="440">
        <f t="shared" si="11"/>
        <v>48.460974716013197</v>
      </c>
    </row>
    <row r="41" spans="1:17" ht="9" customHeight="1">
      <c r="A41" s="3"/>
      <c r="B41" s="5"/>
      <c r="C41" s="78"/>
      <c r="D41" s="78"/>
      <c r="E41" s="78"/>
      <c r="F41" s="78"/>
      <c r="G41" s="78"/>
      <c r="H41" s="86"/>
      <c r="I41" s="86"/>
      <c r="J41" s="78"/>
      <c r="K41" s="78"/>
      <c r="L41" s="78"/>
      <c r="M41" s="439"/>
      <c r="N41" s="439"/>
      <c r="O41" s="439"/>
      <c r="P41" s="439"/>
      <c r="Q41" s="439"/>
    </row>
    <row r="42" spans="1:17" s="87" customFormat="1">
      <c r="A42" s="84"/>
      <c r="B42" s="5" t="s">
        <v>49</v>
      </c>
      <c r="C42" s="78">
        <f t="shared" ref="C42:L42" si="13">+C17+C36+C40</f>
        <v>727759.66</v>
      </c>
      <c r="D42" s="78">
        <f t="shared" si="13"/>
        <v>857422.66000000015</v>
      </c>
      <c r="E42" s="78">
        <f t="shared" si="13"/>
        <v>986044.39999999979</v>
      </c>
      <c r="F42" s="78">
        <f t="shared" si="13"/>
        <v>1129572.19</v>
      </c>
      <c r="G42" s="78">
        <f t="shared" si="13"/>
        <v>1358121.73</v>
      </c>
      <c r="H42" s="86">
        <f t="shared" si="13"/>
        <v>273746</v>
      </c>
      <c r="I42" s="86">
        <f t="shared" si="13"/>
        <v>341539</v>
      </c>
      <c r="J42" s="78">
        <f t="shared" si="13"/>
        <v>404830</v>
      </c>
      <c r="K42" s="78">
        <f t="shared" si="13"/>
        <v>507620</v>
      </c>
      <c r="L42" s="78">
        <f t="shared" si="13"/>
        <v>571410</v>
      </c>
      <c r="M42" s="440">
        <f>+H42/C42*100</f>
        <v>37.614890608253823</v>
      </c>
      <c r="N42" s="440">
        <f>+I42/D42*100</f>
        <v>39.833213645181701</v>
      </c>
      <c r="O42" s="440">
        <f>+J42/E42*100</f>
        <v>41.055960563236312</v>
      </c>
      <c r="P42" s="440">
        <f>+K42/F42*100</f>
        <v>44.939137533122164</v>
      </c>
      <c r="Q42" s="440">
        <f>+L42/G42*100</f>
        <v>42.073548149472586</v>
      </c>
    </row>
    <row r="43" spans="1:17">
      <c r="B43" s="283" t="s">
        <v>204</v>
      </c>
      <c r="C43" s="14"/>
      <c r="D43" s="14"/>
      <c r="H43" s="281"/>
      <c r="I43" s="281"/>
      <c r="J43" s="281"/>
      <c r="K43" s="281"/>
      <c r="L43" s="281"/>
    </row>
  </sheetData>
  <mergeCells count="6">
    <mergeCell ref="A1:Q1"/>
    <mergeCell ref="C2:G2"/>
    <mergeCell ref="H2:L2"/>
    <mergeCell ref="M2:Q2"/>
    <mergeCell ref="B2:B3"/>
    <mergeCell ref="A2:A3"/>
  </mergeCells>
  <phoneticPr fontId="63" type="noConversion"/>
  <printOptions horizontalCentered="1"/>
  <pageMargins left="0.35433070866141736" right="0.15748031496062992" top="0.78740157480314965" bottom="0.39370078740157483" header="0" footer="0"/>
  <pageSetup paperSize="9" scale="63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44" sqref="G44"/>
    </sheetView>
  </sheetViews>
  <sheetFormatPr defaultRowHeight="12.75"/>
  <cols>
    <col min="1" max="1" width="5.5703125" style="26" customWidth="1"/>
    <col min="2" max="2" width="37" customWidth="1"/>
    <col min="3" max="3" width="10.85546875" customWidth="1"/>
    <col min="4" max="4" width="13.140625" customWidth="1"/>
    <col min="5" max="7" width="10.85546875" style="14" customWidth="1"/>
    <col min="8" max="8" width="10.85546875" customWidth="1"/>
    <col min="9" max="12" width="12.7109375" customWidth="1"/>
    <col min="13" max="17" width="11.42578125" customWidth="1"/>
  </cols>
  <sheetData>
    <row r="1" spans="1:17" ht="41.25" customHeight="1">
      <c r="A1" s="641" t="s">
        <v>287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</row>
    <row r="2" spans="1:17" ht="39" customHeight="1">
      <c r="A2" s="592" t="s">
        <v>99</v>
      </c>
      <c r="B2" s="652" t="s">
        <v>318</v>
      </c>
      <c r="C2" s="651" t="s">
        <v>288</v>
      </c>
      <c r="D2" s="651"/>
      <c r="E2" s="651"/>
      <c r="F2" s="651"/>
      <c r="G2" s="651"/>
      <c r="H2" s="642" t="s">
        <v>289</v>
      </c>
      <c r="I2" s="642"/>
      <c r="J2" s="642"/>
      <c r="K2" s="642"/>
      <c r="L2" s="642"/>
      <c r="M2" s="609" t="s">
        <v>108</v>
      </c>
      <c r="N2" s="609"/>
      <c r="O2" s="609"/>
      <c r="P2" s="609"/>
      <c r="Q2" s="609"/>
    </row>
    <row r="3" spans="1:17" s="83" customFormat="1" ht="28.5" customHeight="1">
      <c r="A3" s="592"/>
      <c r="B3" s="652"/>
      <c r="C3" s="82" t="s">
        <v>55</v>
      </c>
      <c r="D3" s="82" t="s">
        <v>56</v>
      </c>
      <c r="E3" s="88" t="s">
        <v>7</v>
      </c>
      <c r="F3" s="88" t="s">
        <v>8</v>
      </c>
      <c r="G3" s="88" t="s">
        <v>9</v>
      </c>
      <c r="H3" s="82" t="s">
        <v>55</v>
      </c>
      <c r="I3" s="82" t="s">
        <v>56</v>
      </c>
      <c r="J3" s="88" t="s">
        <v>7</v>
      </c>
      <c r="K3" s="88" t="s">
        <v>8</v>
      </c>
      <c r="L3" s="88" t="s">
        <v>9</v>
      </c>
      <c r="M3" s="461" t="s">
        <v>55</v>
      </c>
      <c r="N3" s="461" t="s">
        <v>56</v>
      </c>
      <c r="O3" s="461" t="s">
        <v>7</v>
      </c>
      <c r="P3" s="461" t="s">
        <v>8</v>
      </c>
      <c r="Q3" s="461" t="s">
        <v>9</v>
      </c>
    </row>
    <row r="4" spans="1:17" s="89" customFormat="1" ht="19.5" customHeight="1">
      <c r="A4" s="125"/>
      <c r="B4" s="127">
        <v>41129</v>
      </c>
      <c r="C4" s="84" t="s">
        <v>103</v>
      </c>
      <c r="D4" s="84" t="s">
        <v>103</v>
      </c>
      <c r="E4" s="31" t="s">
        <v>10</v>
      </c>
      <c r="F4" s="31" t="s">
        <v>58</v>
      </c>
      <c r="G4" s="15" t="s">
        <v>12</v>
      </c>
      <c r="H4" s="648" t="s">
        <v>309</v>
      </c>
      <c r="I4" s="649"/>
      <c r="J4" s="649"/>
      <c r="K4" s="649"/>
      <c r="L4" s="650"/>
      <c r="M4" s="462" t="s">
        <v>103</v>
      </c>
      <c r="N4" s="462" t="s">
        <v>103</v>
      </c>
      <c r="O4" s="462" t="s">
        <v>103</v>
      </c>
      <c r="P4" s="443" t="s">
        <v>58</v>
      </c>
      <c r="Q4" s="462" t="s">
        <v>12</v>
      </c>
    </row>
    <row r="5" spans="1:17" ht="14.25" customHeight="1">
      <c r="A5" s="3"/>
      <c r="B5" s="4" t="s">
        <v>13</v>
      </c>
      <c r="C5" s="84"/>
      <c r="D5" s="84"/>
      <c r="E5" s="15"/>
      <c r="F5" s="15"/>
      <c r="G5" s="15"/>
      <c r="H5" s="84"/>
      <c r="I5" s="84"/>
      <c r="J5" s="84"/>
      <c r="K5" s="84"/>
      <c r="L5" s="84"/>
      <c r="M5" s="462"/>
      <c r="N5" s="462"/>
      <c r="O5" s="463"/>
      <c r="P5" s="463"/>
      <c r="Q5" s="463"/>
    </row>
    <row r="6" spans="1:17" ht="18" customHeight="1">
      <c r="A6" s="3">
        <v>1</v>
      </c>
      <c r="B6" s="6" t="s">
        <v>14</v>
      </c>
      <c r="C6" s="85">
        <f ca="1">+'Salaries (% Plan Expenditure)'!H6</f>
        <v>1596.3</v>
      </c>
      <c r="D6" s="85">
        <f ca="1">+'Salaries (% Plan Expenditure)'!I6</f>
        <v>2447.7800000000002</v>
      </c>
      <c r="E6" s="85">
        <f ca="1">+'Salaries (% Plan Expenditure)'!J6</f>
        <v>2597.38</v>
      </c>
      <c r="F6" s="85">
        <f ca="1">+'Salaries (% Plan Expenditure)'!K6</f>
        <v>2755.5</v>
      </c>
      <c r="G6" s="85">
        <f ca="1">+'Salaries (% Plan Expenditure)'!L6</f>
        <v>3803.01</v>
      </c>
      <c r="H6" s="85">
        <f ca="1">+'Outstanding liabilities '!H6</f>
        <v>4810</v>
      </c>
      <c r="I6" s="85">
        <f ca="1">+'Outstanding liabilities '!I6</f>
        <v>5687</v>
      </c>
      <c r="J6" s="85">
        <f ca="1">+'Outstanding liabilities '!J6</f>
        <v>7085</v>
      </c>
      <c r="K6" s="85">
        <f ca="1">+'Outstanding liabilities '!K6</f>
        <v>8233</v>
      </c>
      <c r="L6" s="85">
        <f ca="1">+'Outstanding liabilities '!L6</f>
        <v>9357</v>
      </c>
      <c r="M6" s="439">
        <f>+C6/H6*100</f>
        <v>33.187110187110186</v>
      </c>
      <c r="N6" s="439">
        <f>+D6/I6*100</f>
        <v>43.041673993318099</v>
      </c>
      <c r="O6" s="439">
        <f>+E6/J6*100</f>
        <v>36.660268172194776</v>
      </c>
      <c r="P6" s="439">
        <f>+F6/K6*100</f>
        <v>33.468966354913157</v>
      </c>
      <c r="Q6" s="439">
        <f>+G6/L6*100</f>
        <v>40.643475472907987</v>
      </c>
    </row>
    <row r="7" spans="1:17" ht="18" customHeight="1">
      <c r="A7" s="3">
        <v>2</v>
      </c>
      <c r="B7" s="6" t="s">
        <v>15</v>
      </c>
      <c r="C7" s="85">
        <f ca="1">+'Salaries (% Plan Expenditure)'!H7</f>
        <v>3538.2</v>
      </c>
      <c r="D7" s="85">
        <f ca="1">+'Salaries (% Plan Expenditure)'!I7</f>
        <v>5396.8</v>
      </c>
      <c r="E7" s="85">
        <f ca="1">+'Salaries (% Plan Expenditure)'!J7</f>
        <v>4681.45</v>
      </c>
      <c r="F7" s="85">
        <f ca="1">+'Salaries (% Plan Expenditure)'!K7</f>
        <v>6429.32</v>
      </c>
      <c r="G7" s="85">
        <f ca="1">+'Salaries (% Plan Expenditure)'!L7</f>
        <v>9160.06</v>
      </c>
      <c r="H7" s="85">
        <f ca="1">+'Outstanding liabilities '!H7</f>
        <v>71076</v>
      </c>
      <c r="I7" s="85">
        <f ca="1">+'Outstanding liabilities '!I7</f>
        <v>81074</v>
      </c>
      <c r="J7" s="85">
        <f ca="1">+'Outstanding liabilities '!J7</f>
        <v>92737</v>
      </c>
      <c r="K7" s="85">
        <f ca="1">+'Outstanding liabilities '!K7</f>
        <v>104015</v>
      </c>
      <c r="L7" s="85">
        <f ca="1">+'Outstanding liabilities '!L7</f>
        <v>115408</v>
      </c>
      <c r="M7" s="439">
        <f t="shared" ref="M7:Q22" si="0">+C7/H7*100</f>
        <v>4.9780516630086105</v>
      </c>
      <c r="N7" s="439">
        <f t="shared" si="0"/>
        <v>6.6566346794286702</v>
      </c>
      <c r="O7" s="439">
        <f t="shared" si="0"/>
        <v>5.0480929941662982</v>
      </c>
      <c r="P7" s="439">
        <f t="shared" si="0"/>
        <v>6.1811469499591407</v>
      </c>
      <c r="Q7" s="439">
        <f t="shared" si="0"/>
        <v>7.9371100790239844</v>
      </c>
    </row>
    <row r="8" spans="1:17" ht="18" customHeight="1">
      <c r="A8" s="3">
        <v>3</v>
      </c>
      <c r="B8" s="6" t="s">
        <v>16</v>
      </c>
      <c r="C8" s="85">
        <f ca="1">+'Salaries (% Plan Expenditure)'!H8</f>
        <v>2526.36</v>
      </c>
      <c r="D8" s="85">
        <f ca="1">+'Salaries (% Plan Expenditure)'!I8</f>
        <v>2811.14</v>
      </c>
      <c r="E8" s="85">
        <f ca="1">+'Salaries (% Plan Expenditure)'!J8</f>
        <v>3228.94</v>
      </c>
      <c r="F8" s="85">
        <f ca="1">+'Salaries (% Plan Expenditure)'!K8</f>
        <v>3648.03</v>
      </c>
      <c r="G8" s="85">
        <f ca="1">+'Salaries (% Plan Expenditure)'!L8</f>
        <v>3094.44</v>
      </c>
      <c r="H8" s="85">
        <f ca="1">+'Outstanding liabilities '!H8</f>
        <v>33963</v>
      </c>
      <c r="I8" s="85">
        <f ca="1">+'Outstanding liabilities '!I8</f>
        <v>41483</v>
      </c>
      <c r="J8" s="85">
        <f ca="1">+'Outstanding liabilities '!J8</f>
        <v>48189</v>
      </c>
      <c r="K8" s="85">
        <f ca="1">+'Outstanding liabilities '!K8</f>
        <v>56119</v>
      </c>
      <c r="L8" s="85">
        <f ca="1">+'Outstanding liabilities '!L8</f>
        <v>63331</v>
      </c>
      <c r="M8" s="439">
        <f t="shared" si="0"/>
        <v>7.4385654977475486</v>
      </c>
      <c r="N8" s="439">
        <f t="shared" si="0"/>
        <v>6.7766072849118908</v>
      </c>
      <c r="O8" s="439">
        <f t="shared" si="0"/>
        <v>6.7005748199796642</v>
      </c>
      <c r="P8" s="439">
        <f t="shared" si="0"/>
        <v>6.5005256686683648</v>
      </c>
      <c r="Q8" s="439">
        <f t="shared" si="0"/>
        <v>4.8861379103440656</v>
      </c>
    </row>
    <row r="9" spans="1:17" ht="18" customHeight="1">
      <c r="A9" s="3">
        <v>4</v>
      </c>
      <c r="B9" s="6" t="s">
        <v>60</v>
      </c>
      <c r="C9" s="85">
        <f ca="1">+'Salaries (% Plan Expenditure)'!H9</f>
        <v>4164.4399999999996</v>
      </c>
      <c r="D9" s="85">
        <f ca="1">+'Salaries (% Plan Expenditure)'!I9</f>
        <v>5006.1400000000003</v>
      </c>
      <c r="E9" s="85">
        <f ca="1">+'Salaries (% Plan Expenditure)'!J9</f>
        <v>6688.41</v>
      </c>
      <c r="F9" s="85">
        <f ca="1">+'Salaries (% Plan Expenditure)'!K9</f>
        <v>6639</v>
      </c>
      <c r="G9" s="85">
        <f ca="1">+'Salaries (% Plan Expenditure)'!L9</f>
        <v>8221.65</v>
      </c>
      <c r="H9" s="85">
        <f ca="1">+'Outstanding liabilities '!H9</f>
        <v>37099</v>
      </c>
      <c r="I9" s="85">
        <f ca="1">+'Outstanding liabilities '!I9</f>
        <v>42315</v>
      </c>
      <c r="J9" s="85">
        <f ca="1">+'Outstanding liabilities '!J9</f>
        <v>48382</v>
      </c>
      <c r="K9" s="85">
        <f ca="1">+'Outstanding liabilities '!K9</f>
        <v>55446</v>
      </c>
      <c r="L9" s="85">
        <f ca="1">+'Outstanding liabilities '!L9</f>
        <v>63589</v>
      </c>
      <c r="M9" s="439">
        <f t="shared" si="0"/>
        <v>11.225208226636836</v>
      </c>
      <c r="N9" s="439">
        <f t="shared" si="0"/>
        <v>11.830651069360748</v>
      </c>
      <c r="O9" s="439">
        <f t="shared" si="0"/>
        <v>13.824170145922038</v>
      </c>
      <c r="P9" s="439">
        <f t="shared" si="0"/>
        <v>11.973812357969917</v>
      </c>
      <c r="Q9" s="439">
        <f t="shared" si="0"/>
        <v>12.929358851373665</v>
      </c>
    </row>
    <row r="10" spans="1:17" ht="18" customHeight="1">
      <c r="A10" s="3">
        <v>5</v>
      </c>
      <c r="B10" s="6" t="s">
        <v>18</v>
      </c>
      <c r="C10" s="85">
        <f ca="1">+'Salaries (% Plan Expenditure)'!H10</f>
        <v>1593.63</v>
      </c>
      <c r="D10" s="85">
        <f ca="1">+'Salaries (% Plan Expenditure)'!I10</f>
        <v>1954.59</v>
      </c>
      <c r="E10" s="85">
        <f ca="1">+'Salaries (% Plan Expenditure)'!J10</f>
        <v>2305.17</v>
      </c>
      <c r="F10" s="85">
        <f ca="1">+'Salaries (% Plan Expenditure)'!K10</f>
        <v>3019.18</v>
      </c>
      <c r="G10" s="85">
        <f ca="1">+'Salaries (% Plan Expenditure)'!L10</f>
        <v>3608.85</v>
      </c>
      <c r="H10" s="85">
        <f ca="1">+'Outstanding liabilities '!H10</f>
        <v>6783</v>
      </c>
      <c r="I10" s="85">
        <f ca="1">+'Outstanding liabilities '!I10</f>
        <v>7399</v>
      </c>
      <c r="J10" s="85">
        <f ca="1">+'Outstanding liabilities '!J10</f>
        <v>8314</v>
      </c>
      <c r="K10" s="85">
        <f ca="1">+'Outstanding liabilities '!K10</f>
        <v>9198</v>
      </c>
      <c r="L10" s="85">
        <f ca="1">+'Outstanding liabilities '!L10</f>
        <v>10188</v>
      </c>
      <c r="M10" s="439">
        <f t="shared" si="0"/>
        <v>23.494471472799646</v>
      </c>
      <c r="N10" s="439">
        <f t="shared" si="0"/>
        <v>26.416948236248139</v>
      </c>
      <c r="O10" s="439">
        <f t="shared" si="0"/>
        <v>27.726365167187879</v>
      </c>
      <c r="P10" s="439">
        <f t="shared" si="0"/>
        <v>32.824309632528809</v>
      </c>
      <c r="Q10" s="439">
        <f t="shared" si="0"/>
        <v>35.42255594817432</v>
      </c>
    </row>
    <row r="11" spans="1:17" s="92" customFormat="1" ht="18" customHeight="1">
      <c r="A11" s="90">
        <v>6</v>
      </c>
      <c r="B11" s="91" t="s">
        <v>19</v>
      </c>
      <c r="C11" s="85">
        <f ca="1">+'Salaries (% Plan Expenditure)'!H11</f>
        <v>1128.24</v>
      </c>
      <c r="D11" s="85">
        <f ca="1">+'Salaries (% Plan Expenditure)'!I11</f>
        <v>1579.48</v>
      </c>
      <c r="E11" s="85">
        <f ca="1">+'Salaries (% Plan Expenditure)'!J11</f>
        <v>1537.87</v>
      </c>
      <c r="F11" s="85">
        <f ca="1">+'Salaries (% Plan Expenditure)'!K11</f>
        <v>2068.25</v>
      </c>
      <c r="G11" s="85">
        <f ca="1">+'Salaries (% Plan Expenditure)'!L11</f>
        <v>3243.45</v>
      </c>
      <c r="H11" s="85">
        <f ca="1">+'Outstanding liabilities '!H11</f>
        <v>9735</v>
      </c>
      <c r="I11" s="85">
        <f ca="1">+'Outstanding liabilities '!I11</f>
        <v>11617</v>
      </c>
      <c r="J11" s="85">
        <f ca="1">+'Outstanding liabilities '!J11</f>
        <v>12709</v>
      </c>
      <c r="K11" s="85">
        <f ca="1">+'Outstanding liabilities '!K11</f>
        <v>14086</v>
      </c>
      <c r="L11" s="85">
        <f ca="1">+'Outstanding liabilities '!L11</f>
        <v>15895</v>
      </c>
      <c r="M11" s="465">
        <f t="shared" si="0"/>
        <v>11.589522342064715</v>
      </c>
      <c r="N11" s="465">
        <f t="shared" si="0"/>
        <v>13.596281311870534</v>
      </c>
      <c r="O11" s="439">
        <f t="shared" si="0"/>
        <v>12.100637343614761</v>
      </c>
      <c r="P11" s="439">
        <f t="shared" si="0"/>
        <v>14.683018600028397</v>
      </c>
      <c r="Q11" s="439">
        <f t="shared" si="0"/>
        <v>20.405473419314248</v>
      </c>
    </row>
    <row r="12" spans="1:17" ht="18" customHeight="1">
      <c r="A12" s="3">
        <v>7</v>
      </c>
      <c r="B12" s="6" t="s">
        <v>20</v>
      </c>
      <c r="C12" s="85">
        <f ca="1">+'Salaries (% Plan Expenditure)'!H12</f>
        <v>1142.94</v>
      </c>
      <c r="D12" s="85">
        <f ca="1">+'Salaries (% Plan Expenditure)'!I12</f>
        <v>1119.3</v>
      </c>
      <c r="E12" s="85">
        <f ca="1">+'Salaries (% Plan Expenditure)'!J12</f>
        <v>1367.95</v>
      </c>
      <c r="F12" s="85">
        <f ca="1">+'Salaries (% Plan Expenditure)'!K12</f>
        <v>2145.86</v>
      </c>
      <c r="G12" s="85">
        <f ca="1">+'Salaries (% Plan Expenditure)'!L12</f>
        <v>1700</v>
      </c>
      <c r="H12" s="85">
        <f ca="1">+'Outstanding liabilities '!H12</f>
        <v>3816</v>
      </c>
      <c r="I12" s="85">
        <f ca="1">+'Outstanding liabilities '!I12</f>
        <v>4577</v>
      </c>
      <c r="J12" s="85">
        <f ca="1">+'Outstanding liabilities '!J12</f>
        <v>5260</v>
      </c>
      <c r="K12" s="85">
        <f ca="1">+'Outstanding liabilities '!K12</f>
        <v>6058</v>
      </c>
      <c r="L12" s="85">
        <f ca="1">+'Outstanding liabilities '!L12</f>
        <v>6666.8290000000006</v>
      </c>
      <c r="M12" s="439">
        <f t="shared" si="0"/>
        <v>29.951257861635224</v>
      </c>
      <c r="N12" s="439">
        <f t="shared" si="0"/>
        <v>24.454883111208215</v>
      </c>
      <c r="O12" s="439">
        <f t="shared" si="0"/>
        <v>26.006653992395439</v>
      </c>
      <c r="P12" s="439">
        <f t="shared" si="0"/>
        <v>35.421921426213274</v>
      </c>
      <c r="Q12" s="439">
        <f t="shared" si="0"/>
        <v>25.499379090119152</v>
      </c>
    </row>
    <row r="13" spans="1:17" ht="18" customHeight="1">
      <c r="A13" s="3">
        <v>8</v>
      </c>
      <c r="B13" s="6" t="s">
        <v>21</v>
      </c>
      <c r="C13" s="85">
        <f ca="1">+'Salaries (% Plan Expenditure)'!H13</f>
        <v>1296.97</v>
      </c>
      <c r="D13" s="85">
        <f ca="1">+'Salaries (% Plan Expenditure)'!I13</f>
        <v>1396.74</v>
      </c>
      <c r="E13" s="85">
        <f ca="1">+'Salaries (% Plan Expenditure)'!J13</f>
        <v>1568.55</v>
      </c>
      <c r="F13" s="85">
        <f ca="1">+'Salaries (% Plan Expenditure)'!K13</f>
        <v>2201.17</v>
      </c>
      <c r="G13" s="85">
        <f ca="1">+'Salaries (% Plan Expenditure)'!L13</f>
        <v>2336.39</v>
      </c>
      <c r="H13" s="85">
        <f ca="1">+'Outstanding liabilities '!H13</f>
        <v>8075</v>
      </c>
      <c r="I13" s="85">
        <f ca="1">+'Outstanding liabilities '!I13</f>
        <v>9436</v>
      </c>
      <c r="J13" s="85">
        <f ca="1">+'Outstanding liabilities '!J13</f>
        <v>10507</v>
      </c>
      <c r="K13" s="85">
        <f ca="1">+'Outstanding liabilities '!K13</f>
        <v>11190</v>
      </c>
      <c r="L13" s="85">
        <f ca="1">+'Outstanding liabilities '!L13</f>
        <v>12134</v>
      </c>
      <c r="M13" s="439">
        <f t="shared" si="0"/>
        <v>16.061547987616098</v>
      </c>
      <c r="N13" s="439">
        <f t="shared" si="0"/>
        <v>14.802246714709622</v>
      </c>
      <c r="O13" s="439">
        <f t="shared" si="0"/>
        <v>14.928619015894165</v>
      </c>
      <c r="P13" s="439">
        <f t="shared" si="0"/>
        <v>19.670866845397679</v>
      </c>
      <c r="Q13" s="439">
        <f t="shared" si="0"/>
        <v>19.254903576726555</v>
      </c>
    </row>
    <row r="14" spans="1:17" ht="18" customHeight="1">
      <c r="A14" s="3">
        <v>9</v>
      </c>
      <c r="B14" s="6" t="s">
        <v>22</v>
      </c>
      <c r="C14" s="85">
        <f ca="1">+'Salaries (% Plan Expenditure)'!H14</f>
        <v>835.26</v>
      </c>
      <c r="D14" s="85">
        <f ca="1">+'Salaries (% Plan Expenditure)'!I14</f>
        <v>1129.51</v>
      </c>
      <c r="E14" s="85">
        <f ca="1">+'Salaries (% Plan Expenditure)'!J14</f>
        <v>1257.8599999999999</v>
      </c>
      <c r="F14" s="85">
        <f ca="1">+'Salaries (% Plan Expenditure)'!K14</f>
        <v>1132.0899999999999</v>
      </c>
      <c r="G14" s="85">
        <f ca="1">+'Salaries (% Plan Expenditure)'!L14</f>
        <v>1939.44</v>
      </c>
      <c r="H14" s="85">
        <f ca="1">+'Outstanding liabilities '!H14</f>
        <v>2506</v>
      </c>
      <c r="I14" s="85">
        <f ca="1">+'Outstanding liabilities '!I14</f>
        <v>3229</v>
      </c>
      <c r="J14" s="85">
        <f ca="1">+'Outstanding liabilities '!J14</f>
        <v>6133</v>
      </c>
      <c r="K14" s="85">
        <f ca="1">+'Outstanding liabilities '!K14</f>
        <v>7145</v>
      </c>
      <c r="L14" s="85">
        <f ca="1">+'Outstanding liabilities '!L14</f>
        <v>8400</v>
      </c>
      <c r="M14" s="439">
        <f t="shared" si="0"/>
        <v>33.330407023144453</v>
      </c>
      <c r="N14" s="439">
        <f t="shared" si="0"/>
        <v>34.980179622174049</v>
      </c>
      <c r="O14" s="439">
        <f t="shared" si="0"/>
        <v>20.509701614218162</v>
      </c>
      <c r="P14" s="439">
        <f t="shared" si="0"/>
        <v>15.844506648005597</v>
      </c>
      <c r="Q14" s="439">
        <f t="shared" si="0"/>
        <v>23.088571428571431</v>
      </c>
    </row>
    <row r="15" spans="1:17" ht="18" customHeight="1">
      <c r="A15" s="3">
        <v>10</v>
      </c>
      <c r="B15" s="6" t="s">
        <v>23</v>
      </c>
      <c r="C15" s="85">
        <f ca="1">+'Salaries (% Plan Expenditure)'!H15</f>
        <v>1700.13</v>
      </c>
      <c r="D15" s="85">
        <f ca="1">+'Salaries (% Plan Expenditure)'!I15</f>
        <v>1795.72</v>
      </c>
      <c r="E15" s="85">
        <f ca="1">+'Salaries (% Plan Expenditure)'!J15</f>
        <v>2076.9</v>
      </c>
      <c r="F15" s="85">
        <f ca="1">+'Salaries (% Plan Expenditure)'!K15</f>
        <v>1887.3</v>
      </c>
      <c r="G15" s="85">
        <f ca="1">+'Salaries (% Plan Expenditure)'!L15</f>
        <v>2646.38</v>
      </c>
      <c r="H15" s="85">
        <f ca="1">+'Outstanding liabilities '!H15</f>
        <v>11797</v>
      </c>
      <c r="I15" s="85">
        <f ca="1">+'Outstanding liabilities '!I15</f>
        <v>13573</v>
      </c>
      <c r="J15" s="85">
        <f ca="1">+'Outstanding liabilities '!J15</f>
        <v>15348</v>
      </c>
      <c r="K15" s="85">
        <f ca="1">+'Outstanding liabilities '!K15</f>
        <v>17387</v>
      </c>
      <c r="L15" s="85">
        <f ca="1">+'Outstanding liabilities '!L15</f>
        <v>19731</v>
      </c>
      <c r="M15" s="439">
        <f t="shared" si="0"/>
        <v>14.411545308129186</v>
      </c>
      <c r="N15" s="439">
        <f t="shared" si="0"/>
        <v>13.230089147572386</v>
      </c>
      <c r="O15" s="439">
        <f t="shared" si="0"/>
        <v>13.532056293979672</v>
      </c>
      <c r="P15" s="439">
        <f t="shared" si="0"/>
        <v>10.854661528728361</v>
      </c>
      <c r="Q15" s="439">
        <f t="shared" si="0"/>
        <v>13.412295372763673</v>
      </c>
    </row>
    <row r="16" spans="1:17" ht="18" customHeight="1">
      <c r="A16" s="3">
        <v>11</v>
      </c>
      <c r="B16" s="6" t="s">
        <v>24</v>
      </c>
      <c r="C16" s="85">
        <f ca="1">+'Salaries (% Plan Expenditure)'!H16</f>
        <v>4186.13</v>
      </c>
      <c r="D16" s="85">
        <f ca="1">+'Salaries (% Plan Expenditure)'!I16</f>
        <v>4192.3999999999996</v>
      </c>
      <c r="E16" s="85">
        <f ca="1">+'Salaries (% Plan Expenditure)'!J16</f>
        <v>3810.16</v>
      </c>
      <c r="F16" s="85">
        <f ca="1">+'Salaries (% Plan Expenditure)'!K16</f>
        <v>5605.02</v>
      </c>
      <c r="G16" s="85">
        <f ca="1">+'Salaries (% Plan Expenditure)'!L16</f>
        <v>6564.29</v>
      </c>
      <c r="H16" s="85">
        <f ca="1">+'Outstanding liabilities '!H16</f>
        <v>45856</v>
      </c>
      <c r="I16" s="85">
        <f ca="1">+'Outstanding liabilities '!I16</f>
        <v>56025</v>
      </c>
      <c r="J16" s="85">
        <f ca="1">+'Outstanding liabilities '!J16</f>
        <v>70855</v>
      </c>
      <c r="K16" s="85">
        <f ca="1">+'Outstanding liabilities '!K16</f>
        <v>82460</v>
      </c>
      <c r="L16" s="85">
        <f ca="1">+'Outstanding liabilities '!L16</f>
        <v>95201</v>
      </c>
      <c r="M16" s="439">
        <f t="shared" si="0"/>
        <v>9.1288599092812284</v>
      </c>
      <c r="N16" s="439">
        <f t="shared" si="0"/>
        <v>7.4830879071842924</v>
      </c>
      <c r="O16" s="439">
        <f t="shared" si="0"/>
        <v>5.377404558605603</v>
      </c>
      <c r="P16" s="439">
        <f t="shared" si="0"/>
        <v>6.7972592772253222</v>
      </c>
      <c r="Q16" s="439">
        <f t="shared" si="0"/>
        <v>6.8951901765737764</v>
      </c>
    </row>
    <row r="17" spans="1:17" s="87" customFormat="1" ht="18" customHeight="1">
      <c r="A17" s="84"/>
      <c r="B17" s="4" t="s">
        <v>25</v>
      </c>
      <c r="C17" s="86">
        <f t="shared" ref="C17:L17" si="1">SUM(C6:C16)</f>
        <v>23708.600000000002</v>
      </c>
      <c r="D17" s="86">
        <f t="shared" si="1"/>
        <v>28829.599999999999</v>
      </c>
      <c r="E17" s="78">
        <f t="shared" si="1"/>
        <v>31120.639999999999</v>
      </c>
      <c r="F17" s="78">
        <f t="shared" si="1"/>
        <v>37530.720000000001</v>
      </c>
      <c r="G17" s="78">
        <f t="shared" si="1"/>
        <v>46317.96</v>
      </c>
      <c r="H17" s="86">
        <f t="shared" si="1"/>
        <v>235516</v>
      </c>
      <c r="I17" s="86">
        <f t="shared" si="1"/>
        <v>276415</v>
      </c>
      <c r="J17" s="86">
        <f t="shared" si="1"/>
        <v>325519</v>
      </c>
      <c r="K17" s="86">
        <f t="shared" si="1"/>
        <v>371337</v>
      </c>
      <c r="L17" s="86">
        <f t="shared" si="1"/>
        <v>419900.82900000003</v>
      </c>
      <c r="M17" s="440">
        <f t="shared" si="0"/>
        <v>10.06666213760424</v>
      </c>
      <c r="N17" s="440">
        <f t="shared" si="0"/>
        <v>10.429824720076695</v>
      </c>
      <c r="O17" s="440">
        <f t="shared" si="0"/>
        <v>9.5603144516909921</v>
      </c>
      <c r="P17" s="440">
        <f t="shared" si="0"/>
        <v>10.10691635899466</v>
      </c>
      <c r="Q17" s="440">
        <f t="shared" si="0"/>
        <v>11.030690296636685</v>
      </c>
    </row>
    <row r="18" spans="1:17" ht="18" customHeight="1">
      <c r="A18" s="3"/>
      <c r="B18" s="4" t="s">
        <v>26</v>
      </c>
      <c r="C18" s="86"/>
      <c r="D18" s="86"/>
      <c r="E18" s="78"/>
      <c r="F18" s="78"/>
      <c r="G18" s="78"/>
      <c r="H18" s="86"/>
      <c r="I18" s="86"/>
      <c r="J18" s="86"/>
      <c r="K18" s="86"/>
      <c r="L18" s="86"/>
      <c r="M18" s="439"/>
      <c r="N18" s="439"/>
      <c r="O18" s="439"/>
      <c r="P18" s="439"/>
      <c r="Q18" s="439"/>
    </row>
    <row r="19" spans="1:17" ht="18" customHeight="1">
      <c r="A19" s="3">
        <v>12</v>
      </c>
      <c r="B19" s="6" t="s">
        <v>27</v>
      </c>
      <c r="C19" s="85">
        <f ca="1">+'Salaries (% Plan Expenditure)'!H19</f>
        <v>28987.43</v>
      </c>
      <c r="D19" s="85">
        <f ca="1">+'Salaries (% Plan Expenditure)'!I19</f>
        <v>32700.639999999999</v>
      </c>
      <c r="E19" s="85">
        <f ca="1">+'Salaries (% Plan Expenditure)'!J19</f>
        <v>30910.26</v>
      </c>
      <c r="F19" s="85">
        <f ca="1">+'Salaries (% Plan Expenditure)'!K19</f>
        <v>34033.74</v>
      </c>
      <c r="G19" s="85">
        <f ca="1">+'Salaries (% Plan Expenditure)'!L19</f>
        <v>47557.86</v>
      </c>
      <c r="H19" s="85">
        <f ca="1">+'Outstanding liabilities '!H19</f>
        <v>364813</v>
      </c>
      <c r="I19" s="85">
        <f ca="1">+'Outstanding liabilities '!I19</f>
        <v>426765</v>
      </c>
      <c r="J19" s="85">
        <f ca="1">+'Outstanding liabilities '!J19</f>
        <v>490411</v>
      </c>
      <c r="K19" s="85">
        <f ca="1">+'Outstanding liabilities '!K19</f>
        <v>588963</v>
      </c>
      <c r="L19" s="85">
        <f ca="1">+'Outstanding liabilities '!L19</f>
        <v>675798</v>
      </c>
      <c r="M19" s="439">
        <f t="shared" ref="M19:Q36" si="2">+C19/H19*100</f>
        <v>7.9458325224155937</v>
      </c>
      <c r="N19" s="439">
        <f t="shared" si="2"/>
        <v>7.6624465455227107</v>
      </c>
      <c r="O19" s="439">
        <f t="shared" si="0"/>
        <v>6.3029295835533867</v>
      </c>
      <c r="P19" s="439">
        <f t="shared" si="0"/>
        <v>5.7785871098863595</v>
      </c>
      <c r="Q19" s="439">
        <f t="shared" si="0"/>
        <v>7.0372892491543322</v>
      </c>
    </row>
    <row r="20" spans="1:17" ht="18" customHeight="1">
      <c r="A20" s="3">
        <v>13</v>
      </c>
      <c r="B20" s="6" t="s">
        <v>28</v>
      </c>
      <c r="C20" s="85">
        <f ca="1">+'Salaries (% Plan Expenditure)'!H20</f>
        <v>10945.7</v>
      </c>
      <c r="D20" s="85">
        <f ca="1">+'Salaries (% Plan Expenditure)'!I20</f>
        <v>13813.74</v>
      </c>
      <c r="E20" s="85">
        <f ca="1">+'Salaries (% Plan Expenditure)'!J20</f>
        <v>16194.18</v>
      </c>
      <c r="F20" s="85">
        <f ca="1">+'Salaries (% Plan Expenditure)'!K20</f>
        <v>20910.54</v>
      </c>
      <c r="G20" s="85">
        <f ca="1">+'Salaries (% Plan Expenditure)'!L20</f>
        <v>27502.91</v>
      </c>
      <c r="H20" s="85">
        <f ca="1">+'Outstanding liabilities '!H20</f>
        <v>113680</v>
      </c>
      <c r="I20" s="85">
        <f ca="1">+'Outstanding liabilities '!I20</f>
        <v>142279</v>
      </c>
      <c r="J20" s="85">
        <f ca="1">+'Outstanding liabilities '!J20</f>
        <v>163800</v>
      </c>
      <c r="K20" s="85">
        <f ca="1">+'Outstanding liabilities '!K20</f>
        <v>201856</v>
      </c>
      <c r="L20" s="85">
        <f ca="1">+'Outstanding liabilities '!L20</f>
        <v>252694</v>
      </c>
      <c r="M20" s="439">
        <f t="shared" si="2"/>
        <v>9.6285186488388455</v>
      </c>
      <c r="N20" s="439">
        <f t="shared" si="2"/>
        <v>9.7089099586024652</v>
      </c>
      <c r="O20" s="439">
        <f t="shared" si="0"/>
        <v>9.8865567765567768</v>
      </c>
      <c r="P20" s="439">
        <f t="shared" si="0"/>
        <v>10.359137206721623</v>
      </c>
      <c r="Q20" s="439">
        <f t="shared" si="0"/>
        <v>10.883879316485553</v>
      </c>
    </row>
    <row r="21" spans="1:17" ht="18" customHeight="1">
      <c r="A21" s="3">
        <v>14</v>
      </c>
      <c r="B21" s="6" t="s">
        <v>29</v>
      </c>
      <c r="C21" s="85">
        <f ca="1">+'Salaries (% Plan Expenditure)'!H21</f>
        <v>6676.77</v>
      </c>
      <c r="D21" s="85">
        <f ca="1">+'Salaries (% Plan Expenditure)'!I21</f>
        <v>8840.39</v>
      </c>
      <c r="E21" s="85">
        <f ca="1">+'Salaries (% Plan Expenditure)'!J21</f>
        <v>10449.52</v>
      </c>
      <c r="F21" s="85">
        <f ca="1">+'Salaries (% Plan Expenditure)'!K21</f>
        <v>11576.43</v>
      </c>
      <c r="G21" s="85">
        <f ca="1">+'Salaries (% Plan Expenditure)'!L21</f>
        <v>17433.66</v>
      </c>
      <c r="H21" s="85">
        <f ca="1">+'Outstanding liabilities '!H21</f>
        <v>80255</v>
      </c>
      <c r="I21" s="85">
        <f ca="1">+'Outstanding liabilities '!I21</f>
        <v>96972</v>
      </c>
      <c r="J21" s="85">
        <f ca="1">+'Outstanding liabilities '!J21</f>
        <v>99262</v>
      </c>
      <c r="K21" s="85">
        <f ca="1">+'Outstanding liabilities '!K21</f>
        <v>117567</v>
      </c>
      <c r="L21" s="85">
        <f ca="1">+'Outstanding liabilities '!L21</f>
        <v>135536</v>
      </c>
      <c r="M21" s="439">
        <f t="shared" si="2"/>
        <v>8.3194442713849615</v>
      </c>
      <c r="N21" s="439">
        <f t="shared" si="2"/>
        <v>9.1164356721527859</v>
      </c>
      <c r="O21" s="439">
        <f t="shared" si="0"/>
        <v>10.527210815820757</v>
      </c>
      <c r="P21" s="439">
        <f t="shared" si="0"/>
        <v>9.846666156319376</v>
      </c>
      <c r="Q21" s="439">
        <f t="shared" si="0"/>
        <v>12.862752331483888</v>
      </c>
    </row>
    <row r="22" spans="1:17" s="20" customFormat="1" ht="18" customHeight="1">
      <c r="A22" s="3">
        <v>15</v>
      </c>
      <c r="B22" s="6" t="s">
        <v>30</v>
      </c>
      <c r="C22" s="85">
        <f ca="1">+'Salaries (% Plan Expenditure)'!H22</f>
        <v>1250.81</v>
      </c>
      <c r="D22" s="85">
        <f ca="1">+'Salaries (% Plan Expenditure)'!I22</f>
        <v>1650.62</v>
      </c>
      <c r="E22" s="85">
        <f ca="1">+'Salaries (% Plan Expenditure)'!J22</f>
        <v>1896.33</v>
      </c>
      <c r="F22" s="85">
        <f ca="1">+'Salaries (% Plan Expenditure)'!K22</f>
        <v>1960.69</v>
      </c>
      <c r="G22" s="85">
        <f ca="1">+'Salaries (% Plan Expenditure)'!L22</f>
        <v>2310.2199999999998</v>
      </c>
      <c r="H22" s="85">
        <f ca="1">+'Outstanding liabilities '!H22</f>
        <v>19565</v>
      </c>
      <c r="I22" s="85">
        <f ca="1">+'Outstanding liabilities '!I22</f>
        <v>25414</v>
      </c>
      <c r="J22" s="85">
        <f ca="1">+'Outstanding liabilities '!J22</f>
        <v>29126</v>
      </c>
      <c r="K22" s="85">
        <f ca="1">+'Outstanding liabilities '!K22</f>
        <v>32563</v>
      </c>
      <c r="L22" s="85">
        <f ca="1">+'Outstanding liabilities '!L22</f>
        <v>44460</v>
      </c>
      <c r="M22" s="439">
        <f t="shared" si="2"/>
        <v>6.393099923332481</v>
      </c>
      <c r="N22" s="439">
        <f t="shared" si="2"/>
        <v>6.4949240576060436</v>
      </c>
      <c r="O22" s="439">
        <f t="shared" si="0"/>
        <v>6.5107807457254685</v>
      </c>
      <c r="P22" s="439">
        <f t="shared" si="0"/>
        <v>6.0212204035254739</v>
      </c>
      <c r="Q22" s="439">
        <f t="shared" si="0"/>
        <v>5.1961763382816013</v>
      </c>
    </row>
    <row r="23" spans="1:17" ht="18" customHeight="1">
      <c r="A23" s="3">
        <v>16</v>
      </c>
      <c r="B23" s="6" t="s">
        <v>31</v>
      </c>
      <c r="C23" s="85">
        <f ca="1">+'Salaries (% Plan Expenditure)'!H23</f>
        <v>14651.48</v>
      </c>
      <c r="D23" s="85">
        <f ca="1">+'Salaries (% Plan Expenditure)'!I23</f>
        <v>20754.98</v>
      </c>
      <c r="E23" s="85">
        <f ca="1">+'Salaries (% Plan Expenditure)'!J23</f>
        <v>21661.46</v>
      </c>
      <c r="F23" s="85">
        <f ca="1">+'Salaries (% Plan Expenditure)'!K23</f>
        <v>25798.27</v>
      </c>
      <c r="G23" s="85">
        <f ca="1">+'Salaries (% Plan Expenditure)'!L23</f>
        <v>31350.47</v>
      </c>
      <c r="H23" s="85">
        <f ca="1">+'Outstanding liabilities '!H23</f>
        <v>329285</v>
      </c>
      <c r="I23" s="85">
        <f ca="1">+'Outstanding liabilities '!I23</f>
        <v>367912</v>
      </c>
      <c r="J23" s="85">
        <f ca="1">+'Outstanding liabilities '!J23</f>
        <v>427555</v>
      </c>
      <c r="K23" s="85">
        <f ca="1">+'Outstanding liabilities '!K23</f>
        <v>513173</v>
      </c>
      <c r="L23" s="85">
        <f ca="1">+'Outstanding liabilities '!L23</f>
        <v>586300.15250000008</v>
      </c>
      <c r="M23" s="439">
        <f t="shared" si="2"/>
        <v>4.4494829706788952</v>
      </c>
      <c r="N23" s="439">
        <f t="shared" si="2"/>
        <v>5.641289221335537</v>
      </c>
      <c r="O23" s="439">
        <f t="shared" si="2"/>
        <v>5.0663563752031893</v>
      </c>
      <c r="P23" s="439">
        <f t="shared" si="2"/>
        <v>5.0272071991316762</v>
      </c>
      <c r="Q23" s="439">
        <f t="shared" si="2"/>
        <v>5.3471707053666506</v>
      </c>
    </row>
    <row r="24" spans="1:17" ht="18" customHeight="1">
      <c r="A24" s="3">
        <v>17</v>
      </c>
      <c r="B24" s="6" t="s">
        <v>32</v>
      </c>
      <c r="C24" s="85">
        <f ca="1">+'Salaries (% Plan Expenditure)'!H24</f>
        <v>6613</v>
      </c>
      <c r="D24" s="85">
        <f ca="1">+'Salaries (% Plan Expenditure)'!I24</f>
        <v>7908</v>
      </c>
      <c r="E24" s="85">
        <f ca="1">+'Salaries (% Plan Expenditure)'!J24</f>
        <v>10534</v>
      </c>
      <c r="F24" s="85">
        <f ca="1">+'Salaries (% Plan Expenditure)'!K24</f>
        <v>10635</v>
      </c>
      <c r="G24" s="85">
        <f ca="1">+'Salaries (% Plan Expenditure)'!L24</f>
        <v>15337</v>
      </c>
      <c r="H24" s="85">
        <f ca="1">+'Outstanding liabilities '!H24</f>
        <v>151593</v>
      </c>
      <c r="I24" s="85">
        <f ca="1">+'Outstanding liabilities '!I24</f>
        <v>182481</v>
      </c>
      <c r="J24" s="85">
        <f ca="1">+'Outstanding liabilities '!J24</f>
        <v>223567</v>
      </c>
      <c r="K24" s="85">
        <f ca="1">+'Outstanding liabilities '!K24</f>
        <v>263975</v>
      </c>
      <c r="L24" s="85">
        <f ca="1">+'Outstanding liabilities '!L24</f>
        <v>308943</v>
      </c>
      <c r="M24" s="439">
        <f t="shared" si="2"/>
        <v>4.3623386304116947</v>
      </c>
      <c r="N24" s="439">
        <f t="shared" si="2"/>
        <v>4.3336018544396397</v>
      </c>
      <c r="O24" s="439">
        <f t="shared" si="2"/>
        <v>4.7117866232494059</v>
      </c>
      <c r="P24" s="439">
        <f t="shared" si="2"/>
        <v>4.0287906051709443</v>
      </c>
      <c r="Q24" s="439">
        <f t="shared" si="2"/>
        <v>4.9643461738896821</v>
      </c>
    </row>
    <row r="25" spans="1:17" ht="18" customHeight="1">
      <c r="A25" s="3">
        <v>18</v>
      </c>
      <c r="B25" s="6" t="s">
        <v>33</v>
      </c>
      <c r="C25" s="85">
        <f ca="1">+'Salaries (% Plan Expenditure)'!H25</f>
        <v>5953.79</v>
      </c>
      <c r="D25" s="85">
        <f ca="1">+'Salaries (% Plan Expenditure)'!I25</f>
        <v>7083.01</v>
      </c>
      <c r="E25" s="85">
        <f ca="1">+'Salaries (% Plan Expenditure)'!J25</f>
        <v>6732.61</v>
      </c>
      <c r="F25" s="85">
        <f ca="1">+'Salaries (% Plan Expenditure)'!K25</f>
        <v>8795.51</v>
      </c>
      <c r="G25" s="85">
        <f ca="1">+'Salaries (% Plan Expenditure)'!L25</f>
        <v>15300.03</v>
      </c>
      <c r="H25" s="85">
        <f ca="1">+'Outstanding liabilities '!H25</f>
        <v>83950</v>
      </c>
      <c r="I25" s="85">
        <f ca="1">+'Outstanding liabilities '!I25</f>
        <v>87794</v>
      </c>
      <c r="J25" s="85">
        <f ca="1">+'Outstanding liabilities '!J25</f>
        <v>100621</v>
      </c>
      <c r="K25" s="85">
        <f ca="1">+'Outstanding liabilities '!K25</f>
        <v>115535</v>
      </c>
      <c r="L25" s="85">
        <f ca="1">+'Outstanding liabilities '!L25</f>
        <v>130505</v>
      </c>
      <c r="M25" s="439">
        <f t="shared" si="2"/>
        <v>7.0920667063728402</v>
      </c>
      <c r="N25" s="439">
        <f t="shared" si="2"/>
        <v>8.0677608948219692</v>
      </c>
      <c r="O25" s="439">
        <f t="shared" si="2"/>
        <v>6.6910585265501243</v>
      </c>
      <c r="P25" s="439">
        <f t="shared" si="2"/>
        <v>7.6128532479335265</v>
      </c>
      <c r="Q25" s="439">
        <f t="shared" si="2"/>
        <v>11.723711735182562</v>
      </c>
    </row>
    <row r="26" spans="1:17" ht="18" customHeight="1">
      <c r="A26" s="3">
        <v>19</v>
      </c>
      <c r="B26" s="6" t="s">
        <v>34</v>
      </c>
      <c r="C26" s="85">
        <f ca="1">+'Salaries (% Plan Expenditure)'!H26</f>
        <v>16263.04</v>
      </c>
      <c r="D26" s="85">
        <f ca="1">+'Salaries (% Plan Expenditure)'!I26</f>
        <v>19889.16</v>
      </c>
      <c r="E26" s="85">
        <f ca="1">+'Salaries (% Plan Expenditure)'!J26</f>
        <v>24337</v>
      </c>
      <c r="F26" s="85">
        <f ca="1">+'Salaries (% Plan Expenditure)'!K26</f>
        <v>29506</v>
      </c>
      <c r="G26" s="85">
        <f ca="1">+'Salaries (% Plan Expenditure)'!L26</f>
        <v>34644</v>
      </c>
      <c r="H26" s="85">
        <f ca="1">+'Outstanding liabilities '!H26</f>
        <v>270629</v>
      </c>
      <c r="I26" s="85">
        <f ca="1">+'Outstanding liabilities '!I26</f>
        <v>310312</v>
      </c>
      <c r="J26" s="85">
        <f ca="1">+'Outstanding liabilities '!J26</f>
        <v>337516</v>
      </c>
      <c r="K26" s="85">
        <f ca="1">+'Outstanding liabilities '!K26</f>
        <v>399347</v>
      </c>
      <c r="L26" s="85">
        <f ca="1">+'Outstanding liabilities '!L26</f>
        <v>458903</v>
      </c>
      <c r="M26" s="439">
        <f t="shared" si="2"/>
        <v>6.0093485916143505</v>
      </c>
      <c r="N26" s="439">
        <f t="shared" si="2"/>
        <v>6.4094073061950558</v>
      </c>
      <c r="O26" s="439">
        <f t="shared" si="2"/>
        <v>7.2106211261095776</v>
      </c>
      <c r="P26" s="439">
        <f t="shared" si="2"/>
        <v>7.3885618271828752</v>
      </c>
      <c r="Q26" s="439">
        <f t="shared" si="2"/>
        <v>7.5493078057890228</v>
      </c>
    </row>
    <row r="27" spans="1:17" ht="18" customHeight="1">
      <c r="A27" s="3">
        <v>20</v>
      </c>
      <c r="B27" s="6" t="s">
        <v>35</v>
      </c>
      <c r="C27" s="85">
        <f ca="1">+'Salaries (% Plan Expenditure)'!H27</f>
        <v>4548.87</v>
      </c>
      <c r="D27" s="85">
        <f ca="1">+'Salaries (% Plan Expenditure)'!I27</f>
        <v>5461.87</v>
      </c>
      <c r="E27" s="85">
        <f ca="1">+'Salaries (% Plan Expenditure)'!J27</f>
        <v>6785.41</v>
      </c>
      <c r="F27" s="85">
        <f ca="1">+'Salaries (% Plan Expenditure)'!K27</f>
        <v>7280.71</v>
      </c>
      <c r="G27" s="85">
        <f ca="1">+'Salaries (% Plan Expenditure)'!L27</f>
        <v>8955.24</v>
      </c>
      <c r="H27" s="85">
        <f ca="1">+'Outstanding liabilities '!H27</f>
        <v>175141</v>
      </c>
      <c r="I27" s="85">
        <f ca="1">+'Outstanding liabilities '!I27</f>
        <v>202783</v>
      </c>
      <c r="J27" s="85">
        <f ca="1">+'Outstanding liabilities '!J27</f>
        <v>232381</v>
      </c>
      <c r="K27" s="85">
        <f ca="1">+'Outstanding liabilities '!K27</f>
        <v>276997</v>
      </c>
      <c r="L27" s="85">
        <f ca="1">+'Outstanding liabilities '!L27</f>
        <v>326693</v>
      </c>
      <c r="M27" s="439">
        <f t="shared" si="2"/>
        <v>2.5972616349113</v>
      </c>
      <c r="N27" s="439">
        <f t="shared" si="2"/>
        <v>2.6934555658018668</v>
      </c>
      <c r="O27" s="439">
        <f t="shared" si="2"/>
        <v>2.9199504262396667</v>
      </c>
      <c r="P27" s="439">
        <f t="shared" si="2"/>
        <v>2.6284436293533866</v>
      </c>
      <c r="Q27" s="439">
        <f t="shared" si="2"/>
        <v>2.7411790274049337</v>
      </c>
    </row>
    <row r="28" spans="1:17" ht="18" customHeight="1">
      <c r="A28" s="3">
        <v>21</v>
      </c>
      <c r="B28" s="6" t="s">
        <v>36</v>
      </c>
      <c r="C28" s="85">
        <f ca="1">+'Salaries (% Plan Expenditure)'!H28</f>
        <v>13763.15</v>
      </c>
      <c r="D28" s="85">
        <f ca="1">+'Salaries (% Plan Expenditure)'!I28</f>
        <v>14802.22</v>
      </c>
      <c r="E28" s="85">
        <f ca="1">+'Salaries (% Plan Expenditure)'!J28</f>
        <v>18378.41</v>
      </c>
      <c r="F28" s="85">
        <f ca="1">+'Salaries (% Plan Expenditure)'!K28</f>
        <v>22520.86</v>
      </c>
      <c r="G28" s="85">
        <f ca="1">+'Salaries (% Plan Expenditure)'!L28</f>
        <v>25578.79</v>
      </c>
      <c r="H28" s="85">
        <f ca="1">+'Outstanding liabilities '!H28</f>
        <v>161479</v>
      </c>
      <c r="I28" s="85">
        <f ca="1">+'Outstanding liabilities '!I28</f>
        <v>197276</v>
      </c>
      <c r="J28" s="85">
        <f ca="1">+'Outstanding liabilities '!J28</f>
        <v>227984</v>
      </c>
      <c r="K28" s="85">
        <f ca="1">+'Outstanding liabilities '!K28</f>
        <v>260403</v>
      </c>
      <c r="L28" s="85">
        <f ca="1">+'Outstanding liabilities '!L28</f>
        <v>315387</v>
      </c>
      <c r="M28" s="439">
        <f t="shared" si="2"/>
        <v>8.5231825810167265</v>
      </c>
      <c r="N28" s="439">
        <f t="shared" si="2"/>
        <v>7.5033050142946935</v>
      </c>
      <c r="O28" s="439">
        <f t="shared" si="2"/>
        <v>8.0612718436381492</v>
      </c>
      <c r="P28" s="439">
        <f t="shared" si="2"/>
        <v>8.6484641113965655</v>
      </c>
      <c r="Q28" s="439">
        <f t="shared" si="2"/>
        <v>8.1102867271003554</v>
      </c>
    </row>
    <row r="29" spans="1:17" ht="18" customHeight="1">
      <c r="A29" s="3">
        <v>22</v>
      </c>
      <c r="B29" s="6" t="s">
        <v>37</v>
      </c>
      <c r="C29" s="85">
        <f ca="1">+'Salaries (% Plan Expenditure)'!H29</f>
        <v>19997.79</v>
      </c>
      <c r="D29" s="85">
        <f ca="1">+'Salaries (% Plan Expenditure)'!I29</f>
        <v>25692.48</v>
      </c>
      <c r="E29" s="85">
        <f ca="1">+'Salaries (% Plan Expenditure)'!J29</f>
        <v>31878.52</v>
      </c>
      <c r="F29" s="85">
        <f ca="1">+'Salaries (% Plan Expenditure)'!K29</f>
        <v>33004.68</v>
      </c>
      <c r="G29" s="85">
        <f ca="1">+'Salaries (% Plan Expenditure)'!L29</f>
        <v>45796.2</v>
      </c>
      <c r="H29" s="85">
        <f ca="1">+'Outstanding liabilities '!H29</f>
        <v>679004</v>
      </c>
      <c r="I29" s="85">
        <f ca="1">+'Outstanding liabilities '!I29</f>
        <v>756334</v>
      </c>
      <c r="J29" s="85">
        <f ca="1">+'Outstanding liabilities '!J29</f>
        <v>901330</v>
      </c>
      <c r="K29" s="85">
        <f ca="1">+'Outstanding liabilities '!K29</f>
        <v>1029621</v>
      </c>
      <c r="L29" s="85">
        <f ca="1">+'Outstanding liabilities '!L29</f>
        <v>1180302</v>
      </c>
      <c r="M29" s="439">
        <f t="shared" si="2"/>
        <v>2.9451652714858825</v>
      </c>
      <c r="N29" s="439">
        <f t="shared" si="2"/>
        <v>3.3969754103345879</v>
      </c>
      <c r="O29" s="439">
        <f t="shared" si="2"/>
        <v>3.5368311273340511</v>
      </c>
      <c r="P29" s="439">
        <f t="shared" si="2"/>
        <v>3.2055173699837125</v>
      </c>
      <c r="Q29" s="439">
        <f t="shared" si="2"/>
        <v>3.8800408708957534</v>
      </c>
    </row>
    <row r="30" spans="1:17" ht="18" customHeight="1">
      <c r="A30" s="3">
        <v>23</v>
      </c>
      <c r="B30" s="6" t="s">
        <v>104</v>
      </c>
      <c r="C30" s="85">
        <f ca="1">+'Salaries (% Plan Expenditure)'!H30</f>
        <v>7045.88</v>
      </c>
      <c r="D30" s="85">
        <f ca="1">+'Salaries (% Plan Expenditure)'!I30</f>
        <v>8934.16</v>
      </c>
      <c r="E30" s="85">
        <f ca="1">+'Salaries (% Plan Expenditure)'!J30</f>
        <v>8892.2199999999993</v>
      </c>
      <c r="F30" s="85">
        <f ca="1">+'Salaries (% Plan Expenditure)'!K30</f>
        <v>11610.23</v>
      </c>
      <c r="G30" s="85">
        <f ca="1">+'Salaries (% Plan Expenditure)'!L30</f>
        <v>15284.71</v>
      </c>
      <c r="H30" s="85">
        <f ca="1">+'Outstanding liabilities '!H30</f>
        <v>129274</v>
      </c>
      <c r="I30" s="85">
        <f ca="1">+'Outstanding liabilities '!I30</f>
        <v>148491</v>
      </c>
      <c r="J30" s="85">
        <f ca="1">+'Outstanding liabilities '!J30</f>
        <v>163727</v>
      </c>
      <c r="K30" s="85">
        <f ca="1">+'Outstanding liabilities '!K30</f>
        <v>195028</v>
      </c>
      <c r="L30" s="85">
        <f ca="1">+'Outstanding liabilities '!L30</f>
        <v>226236</v>
      </c>
      <c r="M30" s="439">
        <f t="shared" si="2"/>
        <v>5.450345777186441</v>
      </c>
      <c r="N30" s="439">
        <f t="shared" si="2"/>
        <v>6.0166340047544971</v>
      </c>
      <c r="O30" s="439">
        <f t="shared" si="2"/>
        <v>5.4311262039859027</v>
      </c>
      <c r="P30" s="439">
        <f t="shared" si="2"/>
        <v>5.9531092971265656</v>
      </c>
      <c r="Q30" s="439">
        <f t="shared" si="2"/>
        <v>6.7560909846355131</v>
      </c>
    </row>
    <row r="31" spans="1:17" s="20" customFormat="1" ht="18" customHeight="1">
      <c r="A31" s="3">
        <v>24</v>
      </c>
      <c r="B31" s="6" t="s">
        <v>39</v>
      </c>
      <c r="C31" s="85">
        <f ca="1">+'Salaries (% Plan Expenditure)'!H31</f>
        <v>3082.98</v>
      </c>
      <c r="D31" s="85">
        <f ca="1">+'Salaries (% Plan Expenditure)'!I31</f>
        <v>4025.13</v>
      </c>
      <c r="E31" s="85">
        <f ca="1">+'Salaries (% Plan Expenditure)'!J31</f>
        <v>3404.35</v>
      </c>
      <c r="F31" s="85">
        <f ca="1">+'Salaries (% Plan Expenditure)'!K31</f>
        <v>4486.72</v>
      </c>
      <c r="G31" s="85">
        <f ca="1">+'Salaries (% Plan Expenditure)'!L31</f>
        <v>8642.42</v>
      </c>
      <c r="H31" s="85">
        <f ca="1">+'Outstanding liabilities '!H31</f>
        <v>152245</v>
      </c>
      <c r="I31" s="85">
        <f ca="1">+'Outstanding liabilities '!I31</f>
        <v>174039</v>
      </c>
      <c r="J31" s="85">
        <f ca="1">+'Outstanding liabilities '!J31</f>
        <v>198393</v>
      </c>
      <c r="K31" s="85">
        <f ca="1">+'Outstanding liabilities '!K31</f>
        <v>224975</v>
      </c>
      <c r="L31" s="85">
        <f ca="1">+'Outstanding liabilities '!L31</f>
        <v>248301</v>
      </c>
      <c r="M31" s="439">
        <f t="shared" si="2"/>
        <v>2.0250123156753919</v>
      </c>
      <c r="N31" s="439">
        <f t="shared" si="2"/>
        <v>2.3127747229069349</v>
      </c>
      <c r="O31" s="439">
        <f t="shared" si="2"/>
        <v>1.7159627607828905</v>
      </c>
      <c r="P31" s="439">
        <f t="shared" si="2"/>
        <v>1.9943193688187577</v>
      </c>
      <c r="Q31" s="439">
        <f t="shared" si="2"/>
        <v>3.4806223092134143</v>
      </c>
    </row>
    <row r="32" spans="1:17" ht="18" customHeight="1">
      <c r="A32" s="3">
        <v>25</v>
      </c>
      <c r="B32" s="6" t="s">
        <v>40</v>
      </c>
      <c r="C32" s="85">
        <f ca="1">+'Salaries (% Plan Expenditure)'!H32</f>
        <v>10943.62</v>
      </c>
      <c r="D32" s="85">
        <f ca="1">+'Salaries (% Plan Expenditure)'!I32</f>
        <v>12190.11</v>
      </c>
      <c r="E32" s="85">
        <f ca="1">+'Salaries (% Plan Expenditure)'!J32</f>
        <v>12568.73</v>
      </c>
      <c r="F32" s="85">
        <f ca="1">+'Salaries (% Plan Expenditure)'!K32</f>
        <v>14172.46</v>
      </c>
      <c r="G32" s="85">
        <f ca="1">+'Salaries (% Plan Expenditure)'!L32</f>
        <v>19286.21</v>
      </c>
      <c r="H32" s="85">
        <f ca="1">+'Outstanding liabilities '!H32</f>
        <v>194822</v>
      </c>
      <c r="I32" s="85">
        <f ca="1">+'Outstanding liabilities '!I32</f>
        <v>230949</v>
      </c>
      <c r="J32" s="85">
        <f ca="1">+'Outstanding liabilities '!J32</f>
        <v>263258</v>
      </c>
      <c r="K32" s="85">
        <f ca="1">+'Outstanding liabilities '!K32</f>
        <v>323682</v>
      </c>
      <c r="L32" s="85">
        <f ca="1">+'Outstanding liabilities '!L32</f>
        <v>368320</v>
      </c>
      <c r="M32" s="439">
        <f t="shared" si="2"/>
        <v>5.6172403527322379</v>
      </c>
      <c r="N32" s="439">
        <f t="shared" si="2"/>
        <v>5.2782692282711769</v>
      </c>
      <c r="O32" s="439">
        <f t="shared" si="2"/>
        <v>4.7743012558022926</v>
      </c>
      <c r="P32" s="439">
        <f t="shared" si="2"/>
        <v>4.3785134792790457</v>
      </c>
      <c r="Q32" s="439">
        <f t="shared" si="2"/>
        <v>5.2362646611642045</v>
      </c>
    </row>
    <row r="33" spans="1:17" ht="18" customHeight="1">
      <c r="A33" s="3">
        <v>26</v>
      </c>
      <c r="B33" s="6" t="s">
        <v>41</v>
      </c>
      <c r="C33" s="85">
        <f ca="1">+'Salaries (% Plan Expenditure)'!H33</f>
        <v>15855.11</v>
      </c>
      <c r="D33" s="85">
        <f ca="1">+'Salaries (% Plan Expenditure)'!I33</f>
        <v>20519.2</v>
      </c>
      <c r="E33" s="85">
        <f ca="1">+'Salaries (% Plan Expenditure)'!J33</f>
        <v>21831.279999999999</v>
      </c>
      <c r="F33" s="85">
        <f ca="1">+'Salaries (% Plan Expenditure)'!K33</f>
        <v>26777.87</v>
      </c>
      <c r="G33" s="85">
        <f ca="1">+'Salaries (% Plan Expenditure)'!L33</f>
        <v>26119.22</v>
      </c>
      <c r="H33" s="85">
        <f ca="1">+'Outstanding liabilities '!H33</f>
        <v>350819</v>
      </c>
      <c r="I33" s="85">
        <f ca="1">+'Outstanding liabilities '!I33</f>
        <v>401336</v>
      </c>
      <c r="J33" s="85">
        <f ca="1">+'Outstanding liabilities '!J33</f>
        <v>479720</v>
      </c>
      <c r="K33" s="85">
        <f ca="1">+'Outstanding liabilities '!K33</f>
        <v>566422</v>
      </c>
      <c r="L33" s="85">
        <f ca="1">+'Outstanding liabilities '!L33</f>
        <v>639025</v>
      </c>
      <c r="M33" s="439">
        <f t="shared" si="2"/>
        <v>4.5194559017613072</v>
      </c>
      <c r="N33" s="439">
        <f t="shared" si="2"/>
        <v>5.1127235034983158</v>
      </c>
      <c r="O33" s="439">
        <f t="shared" si="2"/>
        <v>4.5508379888268156</v>
      </c>
      <c r="P33" s="439">
        <f t="shared" si="2"/>
        <v>4.7275476588126875</v>
      </c>
      <c r="Q33" s="439">
        <f t="shared" si="2"/>
        <v>4.087354954813974</v>
      </c>
    </row>
    <row r="34" spans="1:17" ht="18" customHeight="1">
      <c r="A34" s="3">
        <v>27</v>
      </c>
      <c r="B34" s="6" t="s">
        <v>42</v>
      </c>
      <c r="C34" s="85">
        <f ca="1">+'Salaries (% Plan Expenditure)'!H34</f>
        <v>25831</v>
      </c>
      <c r="D34" s="85">
        <f ca="1">+'Salaries (% Plan Expenditure)'!I34</f>
        <v>35769</v>
      </c>
      <c r="E34" s="85">
        <f ca="1">+'Salaries (% Plan Expenditure)'!J34</f>
        <v>35304.89</v>
      </c>
      <c r="F34" s="85">
        <f ca="1">+'Salaries (% Plan Expenditure)'!K34</f>
        <v>41237.89</v>
      </c>
      <c r="G34" s="85">
        <f ca="1">+'Salaries (% Plan Expenditure)'!L34</f>
        <v>51964.43</v>
      </c>
      <c r="H34" s="85">
        <f ca="1">+'Outstanding liabilities '!H34</f>
        <v>383026</v>
      </c>
      <c r="I34" s="85">
        <f ca="1">+'Outstanding liabilities '!I34</f>
        <v>444685</v>
      </c>
      <c r="J34" s="85">
        <f ca="1">+'Outstanding liabilities '!J34</f>
        <v>523193</v>
      </c>
      <c r="K34" s="85">
        <f ca="1">+'Outstanding liabilities '!K34</f>
        <v>605219</v>
      </c>
      <c r="L34" s="85">
        <f ca="1">+'Outstanding liabilities '!L34</f>
        <v>687836</v>
      </c>
      <c r="M34" s="439">
        <f t="shared" si="2"/>
        <v>6.7439286105904035</v>
      </c>
      <c r="N34" s="439">
        <f t="shared" si="2"/>
        <v>8.0436713628748429</v>
      </c>
      <c r="O34" s="439">
        <f t="shared" si="2"/>
        <v>6.7479668114825699</v>
      </c>
      <c r="P34" s="439">
        <f t="shared" si="2"/>
        <v>6.813713713548319</v>
      </c>
      <c r="Q34" s="439">
        <f t="shared" si="2"/>
        <v>7.5547703231584276</v>
      </c>
    </row>
    <row r="35" spans="1:17" ht="18" customHeight="1">
      <c r="A35" s="3">
        <v>28</v>
      </c>
      <c r="B35" s="6" t="s">
        <v>43</v>
      </c>
      <c r="C35" s="85">
        <f ca="1">+'Salaries (% Plan Expenditure)'!H35</f>
        <v>10435.19</v>
      </c>
      <c r="D35" s="85">
        <f ca="1">+'Salaries (% Plan Expenditure)'!I35</f>
        <v>12469.51</v>
      </c>
      <c r="E35" s="85">
        <f ca="1">+'Salaries (% Plan Expenditure)'!J35</f>
        <v>14161.31</v>
      </c>
      <c r="F35" s="85">
        <f ca="1">+'Salaries (% Plan Expenditure)'!K35</f>
        <v>14651.8</v>
      </c>
      <c r="G35" s="85">
        <f ca="1">+'Salaries (% Plan Expenditure)'!L35</f>
        <v>25081.21</v>
      </c>
      <c r="H35" s="85">
        <f ca="1">+'Outstanding liabilities '!H35</f>
        <v>299483</v>
      </c>
      <c r="I35" s="85">
        <f ca="1">+'Outstanding liabilities '!I35</f>
        <v>341942</v>
      </c>
      <c r="J35" s="85">
        <f ca="1">+'Outstanding liabilities '!J35</f>
        <v>398933</v>
      </c>
      <c r="K35" s="85">
        <f ca="1">+'Outstanding liabilities '!K35</f>
        <v>467421</v>
      </c>
      <c r="L35" s="85">
        <f ca="1">+'Outstanding liabilities '!L35</f>
        <v>541586</v>
      </c>
      <c r="M35" s="439">
        <f t="shared" si="2"/>
        <v>3.4844014518353297</v>
      </c>
      <c r="N35" s="439">
        <f t="shared" si="2"/>
        <v>3.6466739973445788</v>
      </c>
      <c r="O35" s="439">
        <f t="shared" si="2"/>
        <v>3.5497965823835074</v>
      </c>
      <c r="P35" s="439">
        <f t="shared" si="2"/>
        <v>3.1346045641937352</v>
      </c>
      <c r="Q35" s="439">
        <f t="shared" si="2"/>
        <v>4.6310669035019369</v>
      </c>
    </row>
    <row r="36" spans="1:17" s="87" customFormat="1" ht="18" customHeight="1">
      <c r="A36" s="84"/>
      <c r="B36" s="4" t="s">
        <v>44</v>
      </c>
      <c r="C36" s="86">
        <f t="shared" ref="C36:L36" si="3">SUM(C19:C35)</f>
        <v>202845.61</v>
      </c>
      <c r="D36" s="86">
        <f t="shared" si="3"/>
        <v>252504.22000000003</v>
      </c>
      <c r="E36" s="78">
        <f t="shared" si="3"/>
        <v>275920.48</v>
      </c>
      <c r="F36" s="78">
        <f t="shared" si="3"/>
        <v>318959.40000000002</v>
      </c>
      <c r="G36" s="78">
        <f t="shared" si="3"/>
        <v>418144.58000000007</v>
      </c>
      <c r="H36" s="86">
        <f t="shared" si="3"/>
        <v>3939063</v>
      </c>
      <c r="I36" s="86">
        <f t="shared" si="3"/>
        <v>4537764</v>
      </c>
      <c r="J36" s="86">
        <f t="shared" si="3"/>
        <v>5260777</v>
      </c>
      <c r="K36" s="86">
        <f t="shared" si="3"/>
        <v>6182747</v>
      </c>
      <c r="L36" s="86">
        <f t="shared" si="3"/>
        <v>7126825.1524999999</v>
      </c>
      <c r="M36" s="440">
        <f t="shared" si="2"/>
        <v>5.1495903975133173</v>
      </c>
      <c r="N36" s="440">
        <f t="shared" si="2"/>
        <v>5.5645075415997844</v>
      </c>
      <c r="O36" s="440">
        <f t="shared" si="2"/>
        <v>5.2448617381044658</v>
      </c>
      <c r="P36" s="440">
        <f t="shared" si="2"/>
        <v>5.1588622338905346</v>
      </c>
      <c r="Q36" s="440">
        <f t="shared" si="2"/>
        <v>5.8671929092201776</v>
      </c>
    </row>
    <row r="37" spans="1:17" s="87" customFormat="1" ht="18" customHeight="1">
      <c r="A37" s="84"/>
      <c r="B37" s="4" t="s">
        <v>45</v>
      </c>
      <c r="C37" s="86"/>
      <c r="D37" s="86"/>
      <c r="E37" s="78"/>
      <c r="F37" s="78"/>
      <c r="G37" s="78"/>
      <c r="H37" s="86"/>
      <c r="I37" s="86"/>
      <c r="J37" s="86"/>
      <c r="K37" s="86"/>
      <c r="L37" s="86"/>
      <c r="M37" s="439"/>
      <c r="N37" s="439"/>
      <c r="O37" s="439"/>
      <c r="P37" s="439"/>
      <c r="Q37" s="439"/>
    </row>
    <row r="38" spans="1:17" ht="18" customHeight="1">
      <c r="A38" s="3">
        <v>29</v>
      </c>
      <c r="B38" s="6" t="s">
        <v>46</v>
      </c>
      <c r="C38" s="85">
        <f ca="1">+'Salaries (% Plan Expenditure)'!H38</f>
        <v>8785.0400000000009</v>
      </c>
      <c r="D38" s="85">
        <f ca="1">+'Salaries (% Plan Expenditure)'!I38</f>
        <v>9635.35</v>
      </c>
      <c r="E38" s="85">
        <f ca="1">+'Salaries (% Plan Expenditure)'!J38</f>
        <v>11128.24</v>
      </c>
      <c r="F38" s="85">
        <f ca="1">+'Salaries (% Plan Expenditure)'!K38</f>
        <v>10544.26</v>
      </c>
      <c r="G38" s="85">
        <f ca="1">+'Salaries (% Plan Expenditure)'!L38</f>
        <v>14350</v>
      </c>
      <c r="H38" s="85">
        <f ca="1">+'Outstanding liabilities '!H38</f>
        <v>157947</v>
      </c>
      <c r="I38" s="85">
        <f ca="1">+'Outstanding liabilities '!I38</f>
        <v>189533</v>
      </c>
      <c r="J38" s="85">
        <f ca="1">+'Outstanding liabilities '!J38</f>
        <v>223759</v>
      </c>
      <c r="K38" s="85">
        <f ca="1">+'Outstanding liabilities '!K38</f>
        <v>264496</v>
      </c>
      <c r="L38" s="85">
        <f ca="1">+'Outstanding liabilities '!L38</f>
        <v>313934</v>
      </c>
      <c r="M38" s="439">
        <f t="shared" ref="M38:Q42" si="4">+C38/H38*100</f>
        <v>5.5620176388282152</v>
      </c>
      <c r="N38" s="439">
        <f t="shared" si="4"/>
        <v>5.0837321205278236</v>
      </c>
      <c r="O38" s="439">
        <f t="shared" si="4"/>
        <v>4.9733150398419728</v>
      </c>
      <c r="P38" s="439">
        <f t="shared" si="4"/>
        <v>3.9865480007259091</v>
      </c>
      <c r="Q38" s="439">
        <f t="shared" si="4"/>
        <v>4.5710244828530842</v>
      </c>
    </row>
    <row r="39" spans="1:17" ht="18" customHeight="1">
      <c r="A39" s="3">
        <v>30</v>
      </c>
      <c r="B39" s="6" t="s">
        <v>47</v>
      </c>
      <c r="C39" s="85">
        <f ca="1">+'Salaries (% Plan Expenditure)'!H39</f>
        <v>1112</v>
      </c>
      <c r="D39" s="85">
        <f ca="1">+'Salaries (% Plan Expenditure)'!I39</f>
        <v>1077</v>
      </c>
      <c r="E39" s="85">
        <f ca="1">+'Salaries (% Plan Expenditure)'!J39</f>
        <v>1466</v>
      </c>
      <c r="F39" s="85">
        <f ca="1">+'Salaries (% Plan Expenditure)'!K39</f>
        <v>1607</v>
      </c>
      <c r="G39" s="85">
        <f ca="1">+'Salaries (% Plan Expenditure)'!L39</f>
        <v>2809</v>
      </c>
      <c r="H39" s="85">
        <f ca="1">+'Outstanding liabilities '!H39</f>
        <v>9251</v>
      </c>
      <c r="I39" s="85">
        <f ca="1">+'Outstanding liabilities '!I39</f>
        <v>10050</v>
      </c>
      <c r="J39" s="85">
        <f ca="1">+'Outstanding liabilities '!J39</f>
        <v>11344</v>
      </c>
      <c r="K39" s="85">
        <f ca="1">+'Outstanding liabilities '!K39</f>
        <v>12929</v>
      </c>
      <c r="L39" s="85">
        <f ca="1">+'Outstanding liabilities '!L39</f>
        <v>13724</v>
      </c>
      <c r="M39" s="439">
        <f t="shared" si="4"/>
        <v>12.020322127337584</v>
      </c>
      <c r="N39" s="439">
        <f t="shared" si="4"/>
        <v>10.71641791044776</v>
      </c>
      <c r="O39" s="439">
        <f t="shared" si="4"/>
        <v>12.923131170662906</v>
      </c>
      <c r="P39" s="439">
        <f t="shared" si="4"/>
        <v>12.429422229097378</v>
      </c>
      <c r="Q39" s="439">
        <f t="shared" si="4"/>
        <v>20.467793646167298</v>
      </c>
    </row>
    <row r="40" spans="1:17" ht="18" customHeight="1">
      <c r="A40" s="3"/>
      <c r="B40" s="4" t="s">
        <v>105</v>
      </c>
      <c r="C40" s="86">
        <f t="shared" ref="C40:L40" si="5">SUM(C38:C39)</f>
        <v>9897.0400000000009</v>
      </c>
      <c r="D40" s="86">
        <f t="shared" si="5"/>
        <v>10712.35</v>
      </c>
      <c r="E40" s="78">
        <f t="shared" si="5"/>
        <v>12594.24</v>
      </c>
      <c r="F40" s="78">
        <f>SUM(F38:F39)</f>
        <v>12151.26</v>
      </c>
      <c r="G40" s="78">
        <f t="shared" si="5"/>
        <v>17159</v>
      </c>
      <c r="H40" s="86">
        <f t="shared" si="5"/>
        <v>167198</v>
      </c>
      <c r="I40" s="86">
        <f t="shared" si="5"/>
        <v>199583</v>
      </c>
      <c r="J40" s="86">
        <f t="shared" si="5"/>
        <v>235103</v>
      </c>
      <c r="K40" s="86">
        <f t="shared" si="5"/>
        <v>277425</v>
      </c>
      <c r="L40" s="86">
        <f t="shared" si="5"/>
        <v>327658</v>
      </c>
      <c r="M40" s="440">
        <f t="shared" si="4"/>
        <v>5.9193531023098371</v>
      </c>
      <c r="N40" s="440">
        <f t="shared" si="4"/>
        <v>5.3673659580224768</v>
      </c>
      <c r="O40" s="440">
        <f t="shared" si="4"/>
        <v>5.3569031445791842</v>
      </c>
      <c r="P40" s="440">
        <f>+F40/K40*100</f>
        <v>4.3800162206001625</v>
      </c>
      <c r="Q40" s="440">
        <f>+G40/L40*100</f>
        <v>5.236862826483712</v>
      </c>
    </row>
    <row r="41" spans="1:17" ht="9" customHeight="1">
      <c r="A41" s="3"/>
      <c r="B41" s="4"/>
      <c r="C41" s="86"/>
      <c r="D41" s="86"/>
      <c r="E41" s="78"/>
      <c r="F41" s="78"/>
      <c r="G41" s="78"/>
      <c r="H41" s="86"/>
      <c r="I41" s="86"/>
      <c r="J41" s="86"/>
      <c r="K41" s="86"/>
      <c r="L41" s="86"/>
      <c r="M41" s="439"/>
      <c r="N41" s="439"/>
      <c r="O41" s="439"/>
      <c r="P41" s="439"/>
      <c r="Q41" s="439"/>
    </row>
    <row r="42" spans="1:17" s="87" customFormat="1">
      <c r="A42" s="84"/>
      <c r="B42" s="4" t="s">
        <v>49</v>
      </c>
      <c r="C42" s="86">
        <f t="shared" ref="C42:K42" si="6">+C17+C36+C40</f>
        <v>236451.25</v>
      </c>
      <c r="D42" s="86">
        <f t="shared" si="6"/>
        <v>292046.17</v>
      </c>
      <c r="E42" s="78">
        <f t="shared" si="6"/>
        <v>319635.36</v>
      </c>
      <c r="F42" s="78">
        <f>+F17+F36+F40</f>
        <v>368641.38</v>
      </c>
      <c r="G42" s="78">
        <f t="shared" si="6"/>
        <v>481621.5400000001</v>
      </c>
      <c r="H42" s="86">
        <f t="shared" si="6"/>
        <v>4341777</v>
      </c>
      <c r="I42" s="86">
        <f t="shared" si="6"/>
        <v>5013762</v>
      </c>
      <c r="J42" s="86">
        <f t="shared" si="6"/>
        <v>5821399</v>
      </c>
      <c r="K42" s="86">
        <f t="shared" si="6"/>
        <v>6831509</v>
      </c>
      <c r="L42" s="86">
        <f>+L17+L36+L40</f>
        <v>7874383.9814999998</v>
      </c>
      <c r="M42" s="440">
        <f>+C42/H42*100</f>
        <v>5.445955653641354</v>
      </c>
      <c r="N42" s="440">
        <f>+D42/I42*100</f>
        <v>5.8248909700939135</v>
      </c>
      <c r="O42" s="440">
        <f t="shared" si="4"/>
        <v>5.4906966521277782</v>
      </c>
      <c r="P42" s="440">
        <f t="shared" si="4"/>
        <v>5.3961925542365528</v>
      </c>
      <c r="Q42" s="440">
        <f t="shared" si="4"/>
        <v>6.1163075248999412</v>
      </c>
    </row>
    <row r="43" spans="1:17">
      <c r="B43" s="23" t="s">
        <v>50</v>
      </c>
      <c r="C43" s="287"/>
      <c r="D43" s="287"/>
      <c r="E43" s="288"/>
      <c r="F43" s="288"/>
      <c r="G43" s="24" t="s">
        <v>308</v>
      </c>
      <c r="H43" s="289"/>
      <c r="I43" s="289"/>
      <c r="J43" s="289"/>
      <c r="K43" s="289"/>
      <c r="L43" s="289"/>
    </row>
  </sheetData>
  <mergeCells count="7">
    <mergeCell ref="H4:L4"/>
    <mergeCell ref="A1:Q1"/>
    <mergeCell ref="C2:G2"/>
    <mergeCell ref="M2:Q2"/>
    <mergeCell ref="B2:B3"/>
    <mergeCell ref="A2:A3"/>
    <mergeCell ref="H2:L2"/>
  </mergeCells>
  <phoneticPr fontId="63" type="noConversion"/>
  <printOptions horizontalCentered="1"/>
  <pageMargins left="0.35433070866141736" right="0.15748031496062992" top="0.78740157480314965" bottom="0.39370078740157483" header="0" footer="0"/>
  <pageSetup paperSize="9" scale="65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4.85546875" style="26" customWidth="1"/>
    <col min="2" max="2" width="34.7109375" customWidth="1"/>
    <col min="3" max="4" width="11" customWidth="1"/>
    <col min="5" max="7" width="11" style="14" customWidth="1"/>
    <col min="8" max="12" width="11" customWidth="1"/>
    <col min="13" max="13" width="12" customWidth="1"/>
    <col min="14" max="14" width="12.28515625" customWidth="1"/>
    <col min="15" max="16" width="11.7109375" style="14" customWidth="1"/>
    <col min="17" max="17" width="9.140625" style="14"/>
  </cols>
  <sheetData>
    <row r="1" spans="1:17" ht="28.5" customHeight="1">
      <c r="A1" s="622" t="s">
        <v>290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</row>
    <row r="2" spans="1:17" ht="35.25" customHeight="1">
      <c r="A2" s="636" t="s">
        <v>0</v>
      </c>
      <c r="B2" s="656" t="s">
        <v>315</v>
      </c>
      <c r="C2" s="629" t="s">
        <v>109</v>
      </c>
      <c r="D2" s="630"/>
      <c r="E2" s="630"/>
      <c r="F2" s="630"/>
      <c r="G2" s="631"/>
      <c r="H2" s="629" t="s">
        <v>110</v>
      </c>
      <c r="I2" s="630"/>
      <c r="J2" s="630"/>
      <c r="K2" s="630"/>
      <c r="L2" s="631"/>
      <c r="M2" s="609" t="s">
        <v>291</v>
      </c>
      <c r="N2" s="609"/>
      <c r="O2" s="609"/>
      <c r="P2" s="609"/>
      <c r="Q2" s="609"/>
    </row>
    <row r="3" spans="1:17" ht="27" customHeight="1">
      <c r="A3" s="637"/>
      <c r="B3" s="657"/>
      <c r="C3" s="2" t="s">
        <v>5</v>
      </c>
      <c r="D3" s="2" t="s">
        <v>6</v>
      </c>
      <c r="E3" s="1" t="s">
        <v>7</v>
      </c>
      <c r="F3" s="1" t="s">
        <v>8</v>
      </c>
      <c r="G3" s="1" t="s">
        <v>9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437" t="s">
        <v>5</v>
      </c>
      <c r="N3" s="437" t="s">
        <v>6</v>
      </c>
      <c r="O3" s="437" t="s">
        <v>7</v>
      </c>
      <c r="P3" s="437" t="s">
        <v>8</v>
      </c>
      <c r="Q3" s="437" t="s">
        <v>9</v>
      </c>
    </row>
    <row r="4" spans="1:17" ht="15.75" customHeight="1">
      <c r="A4" s="125"/>
      <c r="B4" s="127">
        <v>41129</v>
      </c>
      <c r="C4" s="2" t="s">
        <v>10</v>
      </c>
      <c r="D4" s="2" t="s">
        <v>10</v>
      </c>
      <c r="E4" s="1" t="s">
        <v>10</v>
      </c>
      <c r="F4" s="1" t="s">
        <v>58</v>
      </c>
      <c r="G4" s="1" t="s">
        <v>12</v>
      </c>
      <c r="H4" s="653" t="s">
        <v>111</v>
      </c>
      <c r="I4" s="654"/>
      <c r="J4" s="654"/>
      <c r="K4" s="654"/>
      <c r="L4" s="655"/>
      <c r="M4" s="437" t="s">
        <v>10</v>
      </c>
      <c r="N4" s="437" t="s">
        <v>10</v>
      </c>
      <c r="O4" s="437" t="s">
        <v>10</v>
      </c>
      <c r="P4" s="437" t="s">
        <v>58</v>
      </c>
      <c r="Q4" s="437" t="s">
        <v>12</v>
      </c>
    </row>
    <row r="5" spans="1:17" ht="17.25" customHeight="1">
      <c r="A5" s="3"/>
      <c r="B5" s="4" t="s">
        <v>13</v>
      </c>
      <c r="C5" s="4"/>
      <c r="D5" s="4"/>
      <c r="E5" s="5"/>
      <c r="F5" s="5"/>
      <c r="G5" s="5"/>
      <c r="H5" s="4"/>
      <c r="I5" s="4"/>
      <c r="J5" s="4"/>
      <c r="K5" s="4"/>
      <c r="L5" s="4"/>
      <c r="M5" s="459"/>
      <c r="N5" s="459"/>
      <c r="O5" s="463"/>
      <c r="P5" s="463"/>
      <c r="Q5" s="463"/>
    </row>
    <row r="6" spans="1:17" ht="17.25" customHeight="1">
      <c r="A6" s="3">
        <v>1</v>
      </c>
      <c r="B6" s="6" t="s">
        <v>14</v>
      </c>
      <c r="C6" s="85">
        <f ca="1">+'Plan Exp(%GSDP)'!C6</f>
        <v>1596.3</v>
      </c>
      <c r="D6" s="85">
        <f ca="1">+'Plan Exp(%GSDP)'!D6</f>
        <v>2447.7800000000002</v>
      </c>
      <c r="E6" s="18">
        <f ca="1">+'Plan Exp(%GSDP)'!E6</f>
        <v>2597.38</v>
      </c>
      <c r="F6" s="18">
        <f ca="1">+'Plan Exp(%GSDP)'!F6</f>
        <v>2755.5</v>
      </c>
      <c r="G6" s="18">
        <f ca="1">+'Plan Exp(%GSDP)'!G6</f>
        <v>3803.01</v>
      </c>
      <c r="H6" s="93">
        <v>0.1198</v>
      </c>
      <c r="I6" s="93">
        <v>0.1212</v>
      </c>
      <c r="J6" s="93">
        <v>0.1227</v>
      </c>
      <c r="K6" s="93">
        <v>0.1241</v>
      </c>
      <c r="L6" s="93">
        <v>0.1255</v>
      </c>
      <c r="M6" s="466">
        <f t="shared" ref="M6:Q17" si="0">+C6/H6</f>
        <v>13324.707846410683</v>
      </c>
      <c r="N6" s="466">
        <f t="shared" si="0"/>
        <v>20196.204620462049</v>
      </c>
      <c r="O6" s="466">
        <f>+E6/J6</f>
        <v>21168.541157294214</v>
      </c>
      <c r="P6" s="466">
        <f>+F6/K6</f>
        <v>22203.867848509268</v>
      </c>
      <c r="Q6" s="466">
        <f>+G6/L6</f>
        <v>30302.868525896414</v>
      </c>
    </row>
    <row r="7" spans="1:17" ht="17.25" customHeight="1">
      <c r="A7" s="3">
        <v>2</v>
      </c>
      <c r="B7" s="6" t="s">
        <v>15</v>
      </c>
      <c r="C7" s="85">
        <f ca="1">+'Plan Exp(%GSDP)'!C7</f>
        <v>3538.2</v>
      </c>
      <c r="D7" s="85">
        <f ca="1">+'Plan Exp(%GSDP)'!D7</f>
        <v>5396.8</v>
      </c>
      <c r="E7" s="18">
        <f ca="1">+'Plan Exp(%GSDP)'!E7</f>
        <v>4681.45</v>
      </c>
      <c r="F7" s="18">
        <f ca="1">+'Plan Exp(%GSDP)'!F7</f>
        <v>6429.32</v>
      </c>
      <c r="G7" s="18">
        <f ca="1">+'Plan Exp(%GSDP)'!G7</f>
        <v>9160.06</v>
      </c>
      <c r="H7" s="93">
        <v>2.9434999999999998</v>
      </c>
      <c r="I7" s="93">
        <v>2.9813999999999998</v>
      </c>
      <c r="J7" s="93">
        <v>3.0190999999999999</v>
      </c>
      <c r="K7" s="93">
        <v>3.0568</v>
      </c>
      <c r="L7" s="93">
        <v>3.0945</v>
      </c>
      <c r="M7" s="466">
        <f t="shared" si="0"/>
        <v>1202.0383896721589</v>
      </c>
      <c r="N7" s="466">
        <f t="shared" si="0"/>
        <v>1810.1563024082648</v>
      </c>
      <c r="O7" s="466">
        <f t="shared" si="0"/>
        <v>1550.6111092709748</v>
      </c>
      <c r="P7" s="466">
        <f t="shared" si="0"/>
        <v>2103.2844805024861</v>
      </c>
      <c r="Q7" s="466">
        <f t="shared" si="0"/>
        <v>2960.1098723541768</v>
      </c>
    </row>
    <row r="8" spans="1:17" ht="17.25" customHeight="1">
      <c r="A8" s="3">
        <v>3</v>
      </c>
      <c r="B8" s="6" t="s">
        <v>16</v>
      </c>
      <c r="C8" s="85">
        <f ca="1">+'Plan Exp(%GSDP)'!C8</f>
        <v>2526.36</v>
      </c>
      <c r="D8" s="85">
        <f ca="1">+'Plan Exp(%GSDP)'!D8</f>
        <v>2811.14</v>
      </c>
      <c r="E8" s="18">
        <f ca="1">+'Plan Exp(%GSDP)'!E8</f>
        <v>3228.94</v>
      </c>
      <c r="F8" s="18">
        <f ca="1">+'Plan Exp(%GSDP)'!F8</f>
        <v>3648.03</v>
      </c>
      <c r="G8" s="18">
        <f ca="1">+'Plan Exp(%GSDP)'!G8</f>
        <v>3094.44</v>
      </c>
      <c r="H8" s="93">
        <v>0.65949999999999998</v>
      </c>
      <c r="I8" s="93">
        <v>0.66620000000000001</v>
      </c>
      <c r="J8" s="93">
        <v>0.67279999999999995</v>
      </c>
      <c r="K8" s="93">
        <v>0.67930000000000001</v>
      </c>
      <c r="L8" s="93">
        <v>0.68559999999999999</v>
      </c>
      <c r="M8" s="466">
        <f t="shared" si="0"/>
        <v>3830.7202426080366</v>
      </c>
      <c r="N8" s="466">
        <f t="shared" si="0"/>
        <v>4219.6637646352447</v>
      </c>
      <c r="O8" s="466">
        <f t="shared" si="0"/>
        <v>4799.2568370986928</v>
      </c>
      <c r="P8" s="466">
        <f t="shared" si="0"/>
        <v>5370.2782275872223</v>
      </c>
      <c r="Q8" s="466">
        <f t="shared" si="0"/>
        <v>4513.4772462077017</v>
      </c>
    </row>
    <row r="9" spans="1:17" ht="17.25" customHeight="1">
      <c r="A9" s="3">
        <v>4</v>
      </c>
      <c r="B9" s="6" t="s">
        <v>60</v>
      </c>
      <c r="C9" s="85">
        <f ca="1">+'Plan Exp(%GSDP)'!C9</f>
        <v>4164.4399999999996</v>
      </c>
      <c r="D9" s="85">
        <f ca="1">+'Plan Exp(%GSDP)'!D9</f>
        <v>5006.1400000000003</v>
      </c>
      <c r="E9" s="18">
        <f ca="1">+'Plan Exp(%GSDP)'!E9</f>
        <v>6688.41</v>
      </c>
      <c r="F9" s="18">
        <f ca="1">+'Plan Exp(%GSDP)'!F9</f>
        <v>6639</v>
      </c>
      <c r="G9" s="18">
        <f ca="1">+'Plan Exp(%GSDP)'!G9</f>
        <v>8221.65</v>
      </c>
      <c r="H9" s="93">
        <v>1.1256999999999999</v>
      </c>
      <c r="I9" s="93">
        <v>1.1414</v>
      </c>
      <c r="J9" s="93">
        <v>1.1568000000000001</v>
      </c>
      <c r="K9" s="93">
        <v>1.1718</v>
      </c>
      <c r="L9" s="93">
        <v>1.1865000000000001</v>
      </c>
      <c r="M9" s="466">
        <f t="shared" si="0"/>
        <v>3699.4225815048412</v>
      </c>
      <c r="N9" s="466">
        <f t="shared" si="0"/>
        <v>4385.9646048712111</v>
      </c>
      <c r="O9" s="466">
        <f t="shared" si="0"/>
        <v>5781.8205394190863</v>
      </c>
      <c r="P9" s="466">
        <f t="shared" si="0"/>
        <v>5665.6426011264721</v>
      </c>
      <c r="Q9" s="466">
        <f t="shared" si="0"/>
        <v>6929.3299620733242</v>
      </c>
    </row>
    <row r="10" spans="1:17" ht="17.25" customHeight="1">
      <c r="A10" s="3">
        <v>5</v>
      </c>
      <c r="B10" s="6" t="s">
        <v>18</v>
      </c>
      <c r="C10" s="85">
        <f ca="1">+'Plan Exp(%GSDP)'!C10</f>
        <v>1593.63</v>
      </c>
      <c r="D10" s="85">
        <f ca="1">+'Plan Exp(%GSDP)'!D10</f>
        <v>1954.59</v>
      </c>
      <c r="E10" s="18">
        <f ca="1">+'Plan Exp(%GSDP)'!E10</f>
        <v>2305.17</v>
      </c>
      <c r="F10" s="18">
        <f ca="1">+'Plan Exp(%GSDP)'!F10</f>
        <v>3019.18</v>
      </c>
      <c r="G10" s="18">
        <f ca="1">+'Plan Exp(%GSDP)'!G10</f>
        <v>3608.85</v>
      </c>
      <c r="H10" s="93">
        <v>0.2364</v>
      </c>
      <c r="I10" s="93">
        <v>0.23930000000000001</v>
      </c>
      <c r="J10" s="93">
        <v>0.24210000000000001</v>
      </c>
      <c r="K10" s="93">
        <v>0.24490000000000001</v>
      </c>
      <c r="L10" s="93">
        <v>0.24779999999999999</v>
      </c>
      <c r="M10" s="466">
        <f t="shared" si="0"/>
        <v>6741.2436548223359</v>
      </c>
      <c r="N10" s="466">
        <f t="shared" si="0"/>
        <v>8167.9481821980771</v>
      </c>
      <c r="O10" s="466">
        <f t="shared" si="0"/>
        <v>9521.5613382899628</v>
      </c>
      <c r="P10" s="466">
        <f t="shared" si="0"/>
        <v>12328.215598203347</v>
      </c>
      <c r="Q10" s="466">
        <f t="shared" si="0"/>
        <v>14563.559322033898</v>
      </c>
    </row>
    <row r="11" spans="1:17" ht="17.25" customHeight="1">
      <c r="A11" s="3">
        <v>6</v>
      </c>
      <c r="B11" s="6" t="s">
        <v>19</v>
      </c>
      <c r="C11" s="85">
        <f ca="1">+'Plan Exp(%GSDP)'!C11</f>
        <v>1128.24</v>
      </c>
      <c r="D11" s="85">
        <f ca="1">+'Plan Exp(%GSDP)'!D11</f>
        <v>1579.48</v>
      </c>
      <c r="E11" s="18">
        <f ca="1">+'Plan Exp(%GSDP)'!E11</f>
        <v>1537.87</v>
      </c>
      <c r="F11" s="18">
        <f ca="1">+'Plan Exp(%GSDP)'!F11</f>
        <v>2068.25</v>
      </c>
      <c r="G11" s="18">
        <f ca="1">+'Plan Exp(%GSDP)'!G11</f>
        <v>3243.45</v>
      </c>
      <c r="H11" s="93">
        <v>0.253</v>
      </c>
      <c r="I11" s="93">
        <v>0.25600000000000001</v>
      </c>
      <c r="J11" s="93">
        <v>0.2591</v>
      </c>
      <c r="K11" s="93">
        <v>0.2621</v>
      </c>
      <c r="L11" s="93">
        <v>0.2651</v>
      </c>
      <c r="M11" s="466">
        <f t="shared" si="0"/>
        <v>4459.446640316206</v>
      </c>
      <c r="N11" s="466">
        <f t="shared" si="0"/>
        <v>6169.84375</v>
      </c>
      <c r="O11" s="466">
        <f t="shared" si="0"/>
        <v>5935.4303357776917</v>
      </c>
      <c r="P11" s="466">
        <f t="shared" si="0"/>
        <v>7891.0721098817248</v>
      </c>
      <c r="Q11" s="466">
        <f t="shared" si="0"/>
        <v>12234.817050169746</v>
      </c>
    </row>
    <row r="12" spans="1:17" ht="17.25" customHeight="1">
      <c r="A12" s="3">
        <v>7</v>
      </c>
      <c r="B12" s="6" t="s">
        <v>20</v>
      </c>
      <c r="C12" s="85">
        <f ca="1">+'Plan Exp(%GSDP)'!C12</f>
        <v>1142.94</v>
      </c>
      <c r="D12" s="85">
        <f ca="1">+'Plan Exp(%GSDP)'!D12</f>
        <v>1119.3</v>
      </c>
      <c r="E12" s="18">
        <f ca="1">+'Plan Exp(%GSDP)'!E12</f>
        <v>1367.95</v>
      </c>
      <c r="F12" s="18">
        <f ca="1">+'Plan Exp(%GSDP)'!F12</f>
        <v>2145.86</v>
      </c>
      <c r="G12" s="18">
        <f ca="1">+'Plan Exp(%GSDP)'!G12</f>
        <v>1700</v>
      </c>
      <c r="H12" s="93">
        <v>9.7000000000000003E-2</v>
      </c>
      <c r="I12" s="93">
        <v>9.8100000000000007E-2</v>
      </c>
      <c r="J12" s="93">
        <v>9.9299999999999999E-2</v>
      </c>
      <c r="K12" s="93">
        <v>0.1004</v>
      </c>
      <c r="L12" s="93">
        <v>0.1016</v>
      </c>
      <c r="M12" s="466">
        <f t="shared" si="0"/>
        <v>11782.886597938144</v>
      </c>
      <c r="N12" s="466">
        <f t="shared" si="0"/>
        <v>11409.785932721712</v>
      </c>
      <c r="O12" s="466">
        <f t="shared" si="0"/>
        <v>13775.931520644512</v>
      </c>
      <c r="P12" s="466">
        <f t="shared" si="0"/>
        <v>21373.107569721116</v>
      </c>
      <c r="Q12" s="466">
        <f t="shared" si="0"/>
        <v>16732.283464566928</v>
      </c>
    </row>
    <row r="13" spans="1:17" ht="17.25" customHeight="1">
      <c r="A13" s="3">
        <v>8</v>
      </c>
      <c r="B13" s="6" t="s">
        <v>21</v>
      </c>
      <c r="C13" s="85">
        <f ca="1">+'Plan Exp(%GSDP)'!C13</f>
        <v>1296.97</v>
      </c>
      <c r="D13" s="85">
        <f ca="1">+'Plan Exp(%GSDP)'!D13</f>
        <v>1396.74</v>
      </c>
      <c r="E13" s="18">
        <f ca="1">+'Plan Exp(%GSDP)'!E13</f>
        <v>1568.55</v>
      </c>
      <c r="F13" s="18">
        <f ca="1">+'Plan Exp(%GSDP)'!F13</f>
        <v>2201.17</v>
      </c>
      <c r="G13" s="18">
        <f ca="1">+'Plan Exp(%GSDP)'!G13</f>
        <v>2336.39</v>
      </c>
      <c r="H13" s="93">
        <v>0.21709999999999999</v>
      </c>
      <c r="I13" s="93">
        <v>0.21970000000000001</v>
      </c>
      <c r="J13" s="93">
        <v>0.2223</v>
      </c>
      <c r="K13" s="93">
        <v>0.22489999999999999</v>
      </c>
      <c r="L13" s="93">
        <v>0.22750000000000001</v>
      </c>
      <c r="M13" s="466">
        <f t="shared" si="0"/>
        <v>5974.0672501151548</v>
      </c>
      <c r="N13" s="466">
        <f t="shared" si="0"/>
        <v>6357.4874829312694</v>
      </c>
      <c r="O13" s="466">
        <f t="shared" si="0"/>
        <v>7056.0053981106612</v>
      </c>
      <c r="P13" s="466">
        <f t="shared" si="0"/>
        <v>9787.3277012005346</v>
      </c>
      <c r="Q13" s="466">
        <f t="shared" si="0"/>
        <v>10269.846153846152</v>
      </c>
    </row>
    <row r="14" spans="1:17" ht="17.25" customHeight="1">
      <c r="A14" s="3">
        <v>9</v>
      </c>
      <c r="B14" s="6" t="s">
        <v>22</v>
      </c>
      <c r="C14" s="85">
        <f ca="1">+'Plan Exp(%GSDP)'!C14</f>
        <v>835.26</v>
      </c>
      <c r="D14" s="85">
        <f ca="1">+'Plan Exp(%GSDP)'!D14</f>
        <v>1129.51</v>
      </c>
      <c r="E14" s="18">
        <f ca="1">+'Plan Exp(%GSDP)'!E14</f>
        <v>1257.8599999999999</v>
      </c>
      <c r="F14" s="18">
        <f ca="1">+'Plan Exp(%GSDP)'!F14</f>
        <v>1132.0899999999999</v>
      </c>
      <c r="G14" s="18">
        <f ca="1">+'Plan Exp(%GSDP)'!G14</f>
        <v>1939.44</v>
      </c>
      <c r="H14" s="93">
        <v>5.91E-2</v>
      </c>
      <c r="I14" s="93">
        <v>5.9799999999999999E-2</v>
      </c>
      <c r="J14" s="93">
        <v>6.0499999999999998E-2</v>
      </c>
      <c r="K14" s="93">
        <v>6.1199999999999997E-2</v>
      </c>
      <c r="L14" s="93">
        <v>6.1899999999999997E-2</v>
      </c>
      <c r="M14" s="466">
        <f t="shared" si="0"/>
        <v>14132.994923857868</v>
      </c>
      <c r="N14" s="466">
        <f t="shared" si="0"/>
        <v>18888.127090301005</v>
      </c>
      <c r="O14" s="466">
        <f t="shared" si="0"/>
        <v>20791.07438016529</v>
      </c>
      <c r="P14" s="466">
        <f t="shared" si="0"/>
        <v>18498.202614379083</v>
      </c>
      <c r="Q14" s="466">
        <f t="shared" si="0"/>
        <v>31331.825525040389</v>
      </c>
    </row>
    <row r="15" spans="1:17" ht="17.25" customHeight="1">
      <c r="A15" s="3">
        <v>10</v>
      </c>
      <c r="B15" s="6" t="s">
        <v>23</v>
      </c>
      <c r="C15" s="85">
        <f ca="1">+'Plan Exp(%GSDP)'!C15</f>
        <v>1700.13</v>
      </c>
      <c r="D15" s="85">
        <f ca="1">+'Plan Exp(%GSDP)'!D15</f>
        <v>1795.72</v>
      </c>
      <c r="E15" s="18">
        <f ca="1">+'Plan Exp(%GSDP)'!E15</f>
        <v>2076.9</v>
      </c>
      <c r="F15" s="18">
        <f ca="1">+'Plan Exp(%GSDP)'!F15</f>
        <v>1887.3</v>
      </c>
      <c r="G15" s="18">
        <f ca="1">+'Plan Exp(%GSDP)'!G15</f>
        <v>2646.38</v>
      </c>
      <c r="H15" s="93">
        <v>0.34910000000000002</v>
      </c>
      <c r="I15" s="93">
        <v>0.35320000000000001</v>
      </c>
      <c r="J15" s="93">
        <v>0.3574</v>
      </c>
      <c r="K15" s="93">
        <v>0.36159999999999998</v>
      </c>
      <c r="L15" s="93">
        <v>0.36580000000000001</v>
      </c>
      <c r="M15" s="466">
        <f t="shared" si="0"/>
        <v>4870.0372386135778</v>
      </c>
      <c r="N15" s="466">
        <f t="shared" si="0"/>
        <v>5084.1449603624005</v>
      </c>
      <c r="O15" s="466">
        <f t="shared" si="0"/>
        <v>5811.1359820928938</v>
      </c>
      <c r="P15" s="466">
        <f t="shared" si="0"/>
        <v>5219.3030973451332</v>
      </c>
      <c r="Q15" s="466">
        <f t="shared" si="0"/>
        <v>7234.4997266265718</v>
      </c>
    </row>
    <row r="16" spans="1:17" ht="17.25" customHeight="1">
      <c r="A16" s="3">
        <v>11</v>
      </c>
      <c r="B16" s="6" t="s">
        <v>24</v>
      </c>
      <c r="C16" s="85">
        <f ca="1">+'Plan Exp(%GSDP)'!C16</f>
        <v>4186.13</v>
      </c>
      <c r="D16" s="85">
        <f ca="1">+'Plan Exp(%GSDP)'!D16</f>
        <v>4192.3999999999996</v>
      </c>
      <c r="E16" s="18">
        <f ca="1">+'Plan Exp(%GSDP)'!E16</f>
        <v>3810.16</v>
      </c>
      <c r="F16" s="18">
        <f ca="1">+'Plan Exp(%GSDP)'!F16</f>
        <v>5605.02</v>
      </c>
      <c r="G16" s="18">
        <f ca="1">+'Plan Exp(%GSDP)'!G16</f>
        <v>6564.29</v>
      </c>
      <c r="H16" s="93">
        <v>0.95109999999999995</v>
      </c>
      <c r="I16" s="93">
        <v>0.96560000000000001</v>
      </c>
      <c r="J16" s="93">
        <v>0.98</v>
      </c>
      <c r="K16" s="93">
        <v>0.99429999999999996</v>
      </c>
      <c r="L16" s="93">
        <v>1.0084</v>
      </c>
      <c r="M16" s="466">
        <f t="shared" si="0"/>
        <v>4401.3563242561249</v>
      </c>
      <c r="N16" s="466">
        <f t="shared" si="0"/>
        <v>4341.7564208782096</v>
      </c>
      <c r="O16" s="466">
        <f t="shared" si="0"/>
        <v>3887.9183673469388</v>
      </c>
      <c r="P16" s="466">
        <f t="shared" si="0"/>
        <v>5637.1517650608475</v>
      </c>
      <c r="Q16" s="466">
        <f t="shared" si="0"/>
        <v>6509.6092820309404</v>
      </c>
    </row>
    <row r="17" spans="1:17" s="87" customFormat="1" ht="17.25" customHeight="1">
      <c r="A17" s="84"/>
      <c r="B17" s="4" t="s">
        <v>25</v>
      </c>
      <c r="C17" s="86">
        <f t="shared" ref="C17:L17" si="1">SUM(C6:C16)</f>
        <v>23708.600000000002</v>
      </c>
      <c r="D17" s="86">
        <f t="shared" si="1"/>
        <v>28829.599999999999</v>
      </c>
      <c r="E17" s="78">
        <f ca="1">SUM(E6:E16)</f>
        <v>31120.639999999999</v>
      </c>
      <c r="F17" s="78">
        <f ca="1">SUM(F6:F16)</f>
        <v>37530.720000000001</v>
      </c>
      <c r="G17" s="78">
        <f ca="1">SUM(G6:G16)</f>
        <v>46317.96</v>
      </c>
      <c r="H17" s="94">
        <f t="shared" si="1"/>
        <v>7.0113000000000003</v>
      </c>
      <c r="I17" s="94">
        <f t="shared" si="1"/>
        <v>7.1019000000000005</v>
      </c>
      <c r="J17" s="94">
        <f t="shared" si="1"/>
        <v>7.1920999999999999</v>
      </c>
      <c r="K17" s="94">
        <f t="shared" si="1"/>
        <v>7.2814000000000005</v>
      </c>
      <c r="L17" s="94">
        <f t="shared" si="1"/>
        <v>7.3702000000000005</v>
      </c>
      <c r="M17" s="467">
        <f t="shared" si="0"/>
        <v>3381.4841755451916</v>
      </c>
      <c r="N17" s="467">
        <f t="shared" si="0"/>
        <v>4059.4207183993012</v>
      </c>
      <c r="O17" s="467">
        <f>+E17/J17</f>
        <v>4327.0588562450466</v>
      </c>
      <c r="P17" s="467">
        <f>+F17/K17</f>
        <v>5154.327464498585</v>
      </c>
      <c r="Q17" s="467">
        <f>+G17/L17</f>
        <v>6284.491601313397</v>
      </c>
    </row>
    <row r="18" spans="1:17" ht="17.25" customHeight="1">
      <c r="A18" s="3"/>
      <c r="B18" s="4" t="s">
        <v>26</v>
      </c>
      <c r="C18" s="86"/>
      <c r="D18" s="86"/>
      <c r="E18" s="78"/>
      <c r="F18" s="78"/>
      <c r="G18" s="78"/>
      <c r="H18" s="94"/>
      <c r="I18" s="94"/>
      <c r="J18" s="94"/>
      <c r="K18" s="94"/>
      <c r="L18" s="94"/>
      <c r="M18" s="466"/>
      <c r="N18" s="466"/>
      <c r="O18" s="463"/>
      <c r="P18" s="463"/>
      <c r="Q18" s="463"/>
    </row>
    <row r="19" spans="1:17" ht="17.25" customHeight="1">
      <c r="A19" s="3">
        <v>12</v>
      </c>
      <c r="B19" s="6" t="s">
        <v>112</v>
      </c>
      <c r="C19" s="85">
        <f ca="1">+'Plan Exp(%GSDP)'!C19</f>
        <v>28987.43</v>
      </c>
      <c r="D19" s="85">
        <f ca="1">+'Plan Exp(%GSDP)'!D19</f>
        <v>32700.639999999999</v>
      </c>
      <c r="E19" s="18">
        <f ca="1">+'Plan Exp(%GSDP)'!E19</f>
        <v>30910.26</v>
      </c>
      <c r="F19" s="18">
        <f ca="1">+'Plan Exp(%GSDP)'!F19</f>
        <v>34033.74</v>
      </c>
      <c r="G19" s="18">
        <f ca="1">+'Plan Exp(%GSDP)'!G19</f>
        <v>47557.86</v>
      </c>
      <c r="H19" s="93">
        <v>8.2375000000000007</v>
      </c>
      <c r="I19" s="93">
        <v>8.3178000000000001</v>
      </c>
      <c r="J19" s="93">
        <v>8.3963999999999999</v>
      </c>
      <c r="K19" s="93">
        <v>8.4734999999999996</v>
      </c>
      <c r="L19" s="93">
        <v>8.5490999999999993</v>
      </c>
      <c r="M19" s="466">
        <f t="shared" ref="M19:Q36" si="2">+C19/H19</f>
        <v>3518.9596358118361</v>
      </c>
      <c r="N19" s="466">
        <f t="shared" si="2"/>
        <v>3931.4049388059343</v>
      </c>
      <c r="O19" s="466">
        <f>+E19/J19</f>
        <v>3681.3705873945974</v>
      </c>
      <c r="P19" s="466">
        <f>+F19/K19</f>
        <v>4016.4914144096301</v>
      </c>
      <c r="Q19" s="466">
        <f>+G19/L19</f>
        <v>5562.9083763203153</v>
      </c>
    </row>
    <row r="20" spans="1:17" ht="17.25" customHeight="1">
      <c r="A20" s="3">
        <v>13</v>
      </c>
      <c r="B20" s="6" t="s">
        <v>28</v>
      </c>
      <c r="C20" s="85">
        <f ca="1">+'Plan Exp(%GSDP)'!C20</f>
        <v>10945.7</v>
      </c>
      <c r="D20" s="85">
        <f ca="1">+'Plan Exp(%GSDP)'!D20</f>
        <v>13813.74</v>
      </c>
      <c r="E20" s="18">
        <f ca="1">+'Plan Exp(%GSDP)'!E20</f>
        <v>16194.18</v>
      </c>
      <c r="F20" s="18">
        <f ca="1">+'Plan Exp(%GSDP)'!F20</f>
        <v>20910.54</v>
      </c>
      <c r="G20" s="18">
        <f ca="1">+'Plan Exp(%GSDP)'!G20</f>
        <v>27502.91</v>
      </c>
      <c r="H20" s="93">
        <v>9.3633000000000006</v>
      </c>
      <c r="I20" s="93">
        <v>9.5025999999999993</v>
      </c>
      <c r="J20" s="93">
        <v>9.6388999999999996</v>
      </c>
      <c r="K20" s="93">
        <v>9.7720000000000002</v>
      </c>
      <c r="L20" s="93">
        <v>9.9019999999999992</v>
      </c>
      <c r="M20" s="466">
        <f t="shared" si="2"/>
        <v>1169.000245639892</v>
      </c>
      <c r="N20" s="466">
        <f t="shared" si="2"/>
        <v>1453.6800454612423</v>
      </c>
      <c r="O20" s="466">
        <f t="shared" si="2"/>
        <v>1680.0859019182687</v>
      </c>
      <c r="P20" s="466">
        <f t="shared" si="2"/>
        <v>2139.8424068767908</v>
      </c>
      <c r="Q20" s="466">
        <f t="shared" si="2"/>
        <v>2777.5106039184006</v>
      </c>
    </row>
    <row r="21" spans="1:17" ht="17.25" customHeight="1">
      <c r="A21" s="3">
        <v>14</v>
      </c>
      <c r="B21" s="6" t="s">
        <v>29</v>
      </c>
      <c r="C21" s="85">
        <f ca="1">+'Plan Exp(%GSDP)'!C21</f>
        <v>6676.77</v>
      </c>
      <c r="D21" s="85">
        <f ca="1">+'Plan Exp(%GSDP)'!D21</f>
        <v>8840.39</v>
      </c>
      <c r="E21" s="18">
        <f ca="1">+'Plan Exp(%GSDP)'!E21</f>
        <v>10449.52</v>
      </c>
      <c r="F21" s="18">
        <f ca="1">+'Plan Exp(%GSDP)'!F21</f>
        <v>11576.43</v>
      </c>
      <c r="G21" s="18">
        <f ca="1">+'Plan Exp(%GSDP)'!G21</f>
        <v>17433.66</v>
      </c>
      <c r="H21" s="93">
        <v>2.3269000000000002</v>
      </c>
      <c r="I21" s="93">
        <v>2.36</v>
      </c>
      <c r="J21" s="93">
        <v>2.3929</v>
      </c>
      <c r="K21" s="93">
        <v>2.4258000000000002</v>
      </c>
      <c r="L21" s="93">
        <v>2.4584999999999999</v>
      </c>
      <c r="M21" s="466">
        <f t="shared" si="2"/>
        <v>2869.3841591817441</v>
      </c>
      <c r="N21" s="466">
        <f t="shared" si="2"/>
        <v>3745.9279661016949</v>
      </c>
      <c r="O21" s="466">
        <f t="shared" si="2"/>
        <v>4366.8853692172679</v>
      </c>
      <c r="P21" s="466">
        <f t="shared" si="2"/>
        <v>4772.2112292851843</v>
      </c>
      <c r="Q21" s="466">
        <f t="shared" si="2"/>
        <v>7091.1775472849304</v>
      </c>
    </row>
    <row r="22" spans="1:17" s="20" customFormat="1" ht="17.25" customHeight="1">
      <c r="A22" s="3">
        <v>15</v>
      </c>
      <c r="B22" s="6" t="s">
        <v>30</v>
      </c>
      <c r="C22" s="85">
        <f ca="1">+'Plan Exp(%GSDP)'!C22</f>
        <v>1250.81</v>
      </c>
      <c r="D22" s="85">
        <f ca="1">+'Plan Exp(%GSDP)'!D22</f>
        <v>1650.62</v>
      </c>
      <c r="E22" s="18">
        <f ca="1">+'Plan Exp(%GSDP)'!E22</f>
        <v>1896.33</v>
      </c>
      <c r="F22" s="18">
        <f ca="1">+'Plan Exp(%GSDP)'!F22</f>
        <v>1960.69</v>
      </c>
      <c r="G22" s="18">
        <f ca="1">+'Plan Exp(%GSDP)'!G22</f>
        <v>2310.2199999999998</v>
      </c>
      <c r="H22" s="93">
        <v>0.15959999999999999</v>
      </c>
      <c r="I22" s="93">
        <v>0.16550000000000001</v>
      </c>
      <c r="J22" s="93">
        <v>0.1714</v>
      </c>
      <c r="K22" s="93">
        <v>0.1767</v>
      </c>
      <c r="L22" s="93">
        <v>0.1817</v>
      </c>
      <c r="M22" s="466">
        <f t="shared" si="2"/>
        <v>7837.1553884711784</v>
      </c>
      <c r="N22" s="466">
        <f t="shared" si="2"/>
        <v>9973.5347432024155</v>
      </c>
      <c r="O22" s="466">
        <f t="shared" si="2"/>
        <v>11063.768961493583</v>
      </c>
      <c r="P22" s="466">
        <f t="shared" si="2"/>
        <v>11096.151669496321</v>
      </c>
      <c r="Q22" s="466">
        <f t="shared" si="2"/>
        <v>12714.474408365437</v>
      </c>
    </row>
    <row r="23" spans="1:17" ht="17.25" customHeight="1">
      <c r="A23" s="3">
        <v>16</v>
      </c>
      <c r="B23" s="6" t="s">
        <v>31</v>
      </c>
      <c r="C23" s="85">
        <f ca="1">+'Plan Exp(%GSDP)'!C23</f>
        <v>14651.48</v>
      </c>
      <c r="D23" s="85">
        <f ca="1">+'Plan Exp(%GSDP)'!D23</f>
        <v>20754.98</v>
      </c>
      <c r="E23" s="18">
        <f ca="1">+'Plan Exp(%GSDP)'!E23</f>
        <v>21661.46</v>
      </c>
      <c r="F23" s="18">
        <f ca="1">+'Plan Exp(%GSDP)'!F23</f>
        <v>25798.27</v>
      </c>
      <c r="G23" s="18">
        <f ca="1">+'Plan Exp(%GSDP)'!G23</f>
        <v>31350.47</v>
      </c>
      <c r="H23" s="93">
        <v>5.6626000000000003</v>
      </c>
      <c r="I23" s="93">
        <v>5.7434000000000003</v>
      </c>
      <c r="J23" s="93">
        <v>5.8231999999999999</v>
      </c>
      <c r="K23" s="93">
        <v>5.9020000000000001</v>
      </c>
      <c r="L23" s="93">
        <v>5.98</v>
      </c>
      <c r="M23" s="466">
        <f t="shared" si="2"/>
        <v>2587.4121428319145</v>
      </c>
      <c r="N23" s="466">
        <f t="shared" si="2"/>
        <v>3613.7096493366298</v>
      </c>
      <c r="O23" s="466">
        <f t="shared" si="2"/>
        <v>3719.8550625085863</v>
      </c>
      <c r="P23" s="466">
        <f t="shared" si="2"/>
        <v>4371.1064046086076</v>
      </c>
      <c r="Q23" s="466">
        <f t="shared" si="2"/>
        <v>5242.5535117056852</v>
      </c>
    </row>
    <row r="24" spans="1:17" ht="17.25" customHeight="1">
      <c r="A24" s="3">
        <v>17</v>
      </c>
      <c r="B24" s="6" t="s">
        <v>32</v>
      </c>
      <c r="C24" s="85">
        <f ca="1">+'Plan Exp(%GSDP)'!C24</f>
        <v>6613</v>
      </c>
      <c r="D24" s="85">
        <f ca="1">+'Plan Exp(%GSDP)'!D24</f>
        <v>7908</v>
      </c>
      <c r="E24" s="18">
        <f ca="1">+'Plan Exp(%GSDP)'!E24</f>
        <v>10534</v>
      </c>
      <c r="F24" s="18">
        <f ca="1">+'Plan Exp(%GSDP)'!F24</f>
        <v>10635</v>
      </c>
      <c r="G24" s="18">
        <f ca="1">+'Plan Exp(%GSDP)'!G24</f>
        <v>15337</v>
      </c>
      <c r="H24" s="93">
        <v>2.4171</v>
      </c>
      <c r="I24" s="93">
        <v>2.4597000000000002</v>
      </c>
      <c r="J24" s="93">
        <v>2.5019999999999998</v>
      </c>
      <c r="K24" s="93">
        <v>2.5438999999999998</v>
      </c>
      <c r="L24" s="93">
        <v>2.5853999999999999</v>
      </c>
      <c r="M24" s="466">
        <f t="shared" si="2"/>
        <v>2735.9232137685658</v>
      </c>
      <c r="N24" s="466">
        <f t="shared" si="2"/>
        <v>3215.0262227100861</v>
      </c>
      <c r="O24" s="466">
        <f t="shared" si="2"/>
        <v>4210.2318145483614</v>
      </c>
      <c r="P24" s="466">
        <f t="shared" si="2"/>
        <v>4180.5888596249852</v>
      </c>
      <c r="Q24" s="466">
        <f t="shared" si="2"/>
        <v>5932.1574998066062</v>
      </c>
    </row>
    <row r="25" spans="1:17" ht="17.25" customHeight="1">
      <c r="A25" s="3">
        <v>18</v>
      </c>
      <c r="B25" s="6" t="s">
        <v>33</v>
      </c>
      <c r="C25" s="85">
        <f ca="1">+'Plan Exp(%GSDP)'!C25</f>
        <v>5953.79</v>
      </c>
      <c r="D25" s="85">
        <f ca="1">+'Plan Exp(%GSDP)'!D25</f>
        <v>7083.01</v>
      </c>
      <c r="E25" s="18">
        <f ca="1">+'Plan Exp(%GSDP)'!E25</f>
        <v>6732.61</v>
      </c>
      <c r="F25" s="18">
        <f ca="1">+'Plan Exp(%GSDP)'!F25</f>
        <v>8795.51</v>
      </c>
      <c r="G25" s="18">
        <f ca="1">+'Plan Exp(%GSDP)'!G25</f>
        <v>15300.03</v>
      </c>
      <c r="H25" s="93">
        <v>3.0181</v>
      </c>
      <c r="I25" s="93">
        <v>3.0611000000000002</v>
      </c>
      <c r="J25" s="93">
        <v>3.1040000000000001</v>
      </c>
      <c r="K25" s="93">
        <v>3.1472000000000002</v>
      </c>
      <c r="L25" s="93">
        <v>3.1903999999999999</v>
      </c>
      <c r="M25" s="466">
        <f t="shared" si="2"/>
        <v>1972.6947417249262</v>
      </c>
      <c r="N25" s="466">
        <f t="shared" si="2"/>
        <v>2313.87736434615</v>
      </c>
      <c r="O25" s="466">
        <f t="shared" si="2"/>
        <v>2169.0109536082473</v>
      </c>
      <c r="P25" s="466">
        <f t="shared" si="2"/>
        <v>2794.7095831215047</v>
      </c>
      <c r="Q25" s="466">
        <f t="shared" si="2"/>
        <v>4795.6463139418256</v>
      </c>
    </row>
    <row r="26" spans="1:17" ht="17.25" customHeight="1">
      <c r="A26" s="3">
        <v>19</v>
      </c>
      <c r="B26" s="6" t="s">
        <v>34</v>
      </c>
      <c r="C26" s="85">
        <f ca="1">+'Plan Exp(%GSDP)'!C26</f>
        <v>16263.04</v>
      </c>
      <c r="D26" s="85">
        <f ca="1">+'Plan Exp(%GSDP)'!D26</f>
        <v>19889.16</v>
      </c>
      <c r="E26" s="18">
        <f ca="1">+'Plan Exp(%GSDP)'!E26</f>
        <v>24337</v>
      </c>
      <c r="F26" s="18">
        <f ca="1">+'Plan Exp(%GSDP)'!F26</f>
        <v>29506</v>
      </c>
      <c r="G26" s="18">
        <f ca="1">+'Plan Exp(%GSDP)'!G26</f>
        <v>34644</v>
      </c>
      <c r="H26" s="93">
        <v>5.7549999999999999</v>
      </c>
      <c r="I26" s="93">
        <v>5.8181000000000003</v>
      </c>
      <c r="J26" s="93">
        <v>5.8803999999999998</v>
      </c>
      <c r="K26" s="93">
        <v>5.9419000000000004</v>
      </c>
      <c r="L26" s="93">
        <v>6.0026000000000002</v>
      </c>
      <c r="M26" s="466">
        <f t="shared" si="2"/>
        <v>2825.8974804517811</v>
      </c>
      <c r="N26" s="466">
        <f t="shared" si="2"/>
        <v>3418.497447620357</v>
      </c>
      <c r="O26" s="466">
        <f t="shared" si="2"/>
        <v>4138.6640364601053</v>
      </c>
      <c r="P26" s="466">
        <f t="shared" si="2"/>
        <v>4965.7516955855872</v>
      </c>
      <c r="Q26" s="466">
        <f t="shared" si="2"/>
        <v>5771.499017092593</v>
      </c>
    </row>
    <row r="27" spans="1:17" ht="17.25" customHeight="1">
      <c r="A27" s="3">
        <v>20</v>
      </c>
      <c r="B27" s="6" t="s">
        <v>35</v>
      </c>
      <c r="C27" s="85">
        <f ca="1">+'Plan Exp(%GSDP)'!C27</f>
        <v>4548.87</v>
      </c>
      <c r="D27" s="85">
        <f ca="1">+'Plan Exp(%GSDP)'!D27</f>
        <v>5461.87</v>
      </c>
      <c r="E27" s="18">
        <f ca="1">+'Plan Exp(%GSDP)'!E27</f>
        <v>6785.41</v>
      </c>
      <c r="F27" s="18">
        <f ca="1">+'Plan Exp(%GSDP)'!F27</f>
        <v>7280.71</v>
      </c>
      <c r="G27" s="18">
        <f ca="1">+'Plan Exp(%GSDP)'!G27</f>
        <v>8955.24</v>
      </c>
      <c r="H27" s="93">
        <v>3.3801999999999999</v>
      </c>
      <c r="I27" s="93">
        <v>3.4062999999999999</v>
      </c>
      <c r="J27" s="93">
        <v>3.4317000000000002</v>
      </c>
      <c r="K27" s="93">
        <v>3.4563000000000001</v>
      </c>
      <c r="L27" s="93">
        <v>3.4802</v>
      </c>
      <c r="M27" s="466">
        <f t="shared" si="2"/>
        <v>1345.7398970475119</v>
      </c>
      <c r="N27" s="466">
        <f t="shared" si="2"/>
        <v>1603.461233596571</v>
      </c>
      <c r="O27" s="466">
        <f t="shared" si="2"/>
        <v>1977.2736544569746</v>
      </c>
      <c r="P27" s="466">
        <f t="shared" si="2"/>
        <v>2106.5040650406504</v>
      </c>
      <c r="Q27" s="466">
        <f t="shared" si="2"/>
        <v>2573.1969427044423</v>
      </c>
    </row>
    <row r="28" spans="1:17" ht="17.25" customHeight="1">
      <c r="A28" s="3">
        <v>21</v>
      </c>
      <c r="B28" s="6" t="s">
        <v>36</v>
      </c>
      <c r="C28" s="85">
        <f ca="1">+'Plan Exp(%GSDP)'!C28</f>
        <v>13763.15</v>
      </c>
      <c r="D28" s="85">
        <f ca="1">+'Plan Exp(%GSDP)'!D28</f>
        <v>14802.22</v>
      </c>
      <c r="E28" s="18">
        <f ca="1">+'Plan Exp(%GSDP)'!E28</f>
        <v>18378.41</v>
      </c>
      <c r="F28" s="18">
        <f ca="1">+'Plan Exp(%GSDP)'!F28</f>
        <v>22520.86</v>
      </c>
      <c r="G28" s="18">
        <f ca="1">+'Plan Exp(%GSDP)'!G28</f>
        <v>25578.79</v>
      </c>
      <c r="H28" s="93">
        <v>6.8737000000000004</v>
      </c>
      <c r="I28" s="93">
        <v>6.9897</v>
      </c>
      <c r="J28" s="93">
        <v>7.1050000000000004</v>
      </c>
      <c r="K28" s="93">
        <v>7.22</v>
      </c>
      <c r="L28" s="93">
        <v>7.3343999999999996</v>
      </c>
      <c r="M28" s="466">
        <f t="shared" si="2"/>
        <v>2002.2913423629193</v>
      </c>
      <c r="N28" s="466">
        <f t="shared" si="2"/>
        <v>2117.718929281657</v>
      </c>
      <c r="O28" s="466">
        <f t="shared" si="2"/>
        <v>2586.6868402533423</v>
      </c>
      <c r="P28" s="466">
        <f t="shared" si="2"/>
        <v>3119.2326869806097</v>
      </c>
      <c r="Q28" s="466">
        <f t="shared" si="2"/>
        <v>3487.5095440663181</v>
      </c>
    </row>
    <row r="29" spans="1:17" ht="17.25" customHeight="1">
      <c r="A29" s="3">
        <v>22</v>
      </c>
      <c r="B29" s="6" t="s">
        <v>37</v>
      </c>
      <c r="C29" s="85">
        <f ca="1">+'Plan Exp(%GSDP)'!C29</f>
        <v>19997.79</v>
      </c>
      <c r="D29" s="85">
        <f ca="1">+'Plan Exp(%GSDP)'!D29</f>
        <v>25692.48</v>
      </c>
      <c r="E29" s="18">
        <f ca="1">+'Plan Exp(%GSDP)'!E29</f>
        <v>31878.52</v>
      </c>
      <c r="F29" s="18">
        <f ca="1">+'Plan Exp(%GSDP)'!F29</f>
        <v>33004.68</v>
      </c>
      <c r="G29" s="18">
        <f ca="1">+'Plan Exp(%GSDP)'!G29</f>
        <v>45796.2</v>
      </c>
      <c r="H29" s="93">
        <v>10.7972</v>
      </c>
      <c r="I29" s="93">
        <v>10.955299999999999</v>
      </c>
      <c r="J29" s="93">
        <v>11.111800000000001</v>
      </c>
      <c r="K29" s="93">
        <v>11.266</v>
      </c>
      <c r="L29" s="93">
        <v>11.4184</v>
      </c>
      <c r="M29" s="466">
        <f t="shared" si="2"/>
        <v>1852.1274034008818</v>
      </c>
      <c r="N29" s="466">
        <f t="shared" si="2"/>
        <v>2345.2100809653775</v>
      </c>
      <c r="O29" s="466">
        <f t="shared" si="2"/>
        <v>2868.8889288864088</v>
      </c>
      <c r="P29" s="466">
        <f t="shared" si="2"/>
        <v>2929.5828155512158</v>
      </c>
      <c r="Q29" s="466">
        <f t="shared" si="2"/>
        <v>4010.7370559798219</v>
      </c>
    </row>
    <row r="30" spans="1:17" ht="17.25" customHeight="1">
      <c r="A30" s="3">
        <v>23</v>
      </c>
      <c r="B30" s="6" t="s">
        <v>104</v>
      </c>
      <c r="C30" s="85">
        <f ca="1">+'Plan Exp(%GSDP)'!C30</f>
        <v>7045.88</v>
      </c>
      <c r="D30" s="85">
        <f ca="1">+'Plan Exp(%GSDP)'!D30</f>
        <v>8934.16</v>
      </c>
      <c r="E30" s="18">
        <f ca="1">+'Plan Exp(%GSDP)'!E30</f>
        <v>8892.2199999999993</v>
      </c>
      <c r="F30" s="18">
        <f ca="1">+'Plan Exp(%GSDP)'!F30</f>
        <v>11610.23</v>
      </c>
      <c r="G30" s="18">
        <f ca="1">+'Plan Exp(%GSDP)'!G30</f>
        <v>15284.71</v>
      </c>
      <c r="H30" s="93">
        <v>3.9655</v>
      </c>
      <c r="I30" s="93">
        <v>4.0025000000000004</v>
      </c>
      <c r="J30" s="93">
        <v>4.0388999999999999</v>
      </c>
      <c r="K30" s="93">
        <v>4.0750000000000002</v>
      </c>
      <c r="L30" s="93">
        <v>4.1105</v>
      </c>
      <c r="M30" s="466">
        <f t="shared" si="2"/>
        <v>1776.794855629807</v>
      </c>
      <c r="N30" s="466">
        <f t="shared" si="2"/>
        <v>2232.1449094316049</v>
      </c>
      <c r="O30" s="466">
        <f t="shared" si="2"/>
        <v>2201.6440119834606</v>
      </c>
      <c r="P30" s="466">
        <f t="shared" si="2"/>
        <v>2849.1361963190184</v>
      </c>
      <c r="Q30" s="466">
        <f t="shared" si="2"/>
        <v>3718.4551757693707</v>
      </c>
    </row>
    <row r="31" spans="1:17" s="20" customFormat="1" ht="17.25" customHeight="1">
      <c r="A31" s="3">
        <v>24</v>
      </c>
      <c r="B31" s="6" t="s">
        <v>39</v>
      </c>
      <c r="C31" s="85">
        <f ca="1">+'Plan Exp(%GSDP)'!C31</f>
        <v>3082.98</v>
      </c>
      <c r="D31" s="85">
        <f ca="1">+'Plan Exp(%GSDP)'!D31</f>
        <v>4025.13</v>
      </c>
      <c r="E31" s="18">
        <f ca="1">+'Plan Exp(%GSDP)'!E31</f>
        <v>3404.35</v>
      </c>
      <c r="F31" s="18">
        <f ca="1">+'Plan Exp(%GSDP)'!F31</f>
        <v>4486.72</v>
      </c>
      <c r="G31" s="18">
        <f ca="1">+'Plan Exp(%GSDP)'!G31</f>
        <v>8642.42</v>
      </c>
      <c r="H31" s="93">
        <v>2.6722000000000001</v>
      </c>
      <c r="I31" s="93">
        <v>2.7048000000000001</v>
      </c>
      <c r="J31" s="93">
        <v>2.7368000000000001</v>
      </c>
      <c r="K31" s="93">
        <v>2.7677999999999998</v>
      </c>
      <c r="L31" s="93">
        <v>2.7980999999999998</v>
      </c>
      <c r="M31" s="466">
        <f t="shared" si="2"/>
        <v>1153.7235236883466</v>
      </c>
      <c r="N31" s="466">
        <f t="shared" si="2"/>
        <v>1488.1433007985802</v>
      </c>
      <c r="O31" s="466">
        <f t="shared" si="2"/>
        <v>1243.9162525577315</v>
      </c>
      <c r="P31" s="466">
        <f t="shared" si="2"/>
        <v>1621.0419828022259</v>
      </c>
      <c r="Q31" s="466">
        <f t="shared" si="2"/>
        <v>3088.6744576677033</v>
      </c>
    </row>
    <row r="32" spans="1:17" ht="17.25" customHeight="1">
      <c r="A32" s="3">
        <v>25</v>
      </c>
      <c r="B32" s="6" t="s">
        <v>40</v>
      </c>
      <c r="C32" s="85">
        <f ca="1">+'Plan Exp(%GSDP)'!C32</f>
        <v>10943.62</v>
      </c>
      <c r="D32" s="85">
        <f ca="1">+'Plan Exp(%GSDP)'!D32</f>
        <v>12190.11</v>
      </c>
      <c r="E32" s="18">
        <f ca="1">+'Plan Exp(%GSDP)'!E32</f>
        <v>12568.73</v>
      </c>
      <c r="F32" s="18">
        <f ca="1">+'Plan Exp(%GSDP)'!F32</f>
        <v>14172.46</v>
      </c>
      <c r="G32" s="18">
        <f ca="1">+'Plan Exp(%GSDP)'!G32</f>
        <v>19286.21</v>
      </c>
      <c r="H32" s="93">
        <v>6.4534000000000002</v>
      </c>
      <c r="I32" s="93">
        <v>6.5650000000000004</v>
      </c>
      <c r="J32" s="93">
        <v>6.6749999999999998</v>
      </c>
      <c r="K32" s="93">
        <v>6.7830000000000004</v>
      </c>
      <c r="L32" s="93">
        <v>6.8891999999999998</v>
      </c>
      <c r="M32" s="466">
        <f t="shared" si="2"/>
        <v>1695.7913657916758</v>
      </c>
      <c r="N32" s="466">
        <f t="shared" si="2"/>
        <v>1856.8332063975629</v>
      </c>
      <c r="O32" s="466">
        <f t="shared" si="2"/>
        <v>1882.9558052434456</v>
      </c>
      <c r="P32" s="466">
        <f t="shared" si="2"/>
        <v>2089.4088161580421</v>
      </c>
      <c r="Q32" s="466">
        <f t="shared" si="2"/>
        <v>2799.4847006909363</v>
      </c>
    </row>
    <row r="33" spans="1:17" ht="17.25" customHeight="1">
      <c r="A33" s="3">
        <v>26</v>
      </c>
      <c r="B33" s="6" t="s">
        <v>41</v>
      </c>
      <c r="C33" s="85">
        <f ca="1">+'Plan Exp(%GSDP)'!C33</f>
        <v>15855.11</v>
      </c>
      <c r="D33" s="85">
        <f ca="1">+'Plan Exp(%GSDP)'!D33</f>
        <v>20519.2</v>
      </c>
      <c r="E33" s="18">
        <f ca="1">+'Plan Exp(%GSDP)'!E33</f>
        <v>21831.279999999999</v>
      </c>
      <c r="F33" s="18">
        <f ca="1">+'Plan Exp(%GSDP)'!F33</f>
        <v>26777.87</v>
      </c>
      <c r="G33" s="18">
        <f ca="1">+'Plan Exp(%GSDP)'!G33</f>
        <v>26119.22</v>
      </c>
      <c r="H33" s="93">
        <v>6.6105999999999998</v>
      </c>
      <c r="I33" s="93">
        <v>6.6566000000000001</v>
      </c>
      <c r="J33" s="93">
        <v>6.7012</v>
      </c>
      <c r="K33" s="93">
        <v>6.7443999999999997</v>
      </c>
      <c r="L33" s="93">
        <v>6.7862</v>
      </c>
      <c r="M33" s="466">
        <f t="shared" si="2"/>
        <v>2398.4373581823133</v>
      </c>
      <c r="N33" s="466">
        <f t="shared" si="2"/>
        <v>3082.5346272872039</v>
      </c>
      <c r="O33" s="466">
        <f t="shared" si="2"/>
        <v>3257.8165104757354</v>
      </c>
      <c r="P33" s="466">
        <f t="shared" si="2"/>
        <v>3970.3858015538817</v>
      </c>
      <c r="Q33" s="466">
        <f t="shared" si="2"/>
        <v>3848.8727122690166</v>
      </c>
    </row>
    <row r="34" spans="1:17" ht="17.25" customHeight="1">
      <c r="A34" s="3">
        <v>27</v>
      </c>
      <c r="B34" s="6" t="s">
        <v>42</v>
      </c>
      <c r="C34" s="85">
        <f ca="1">+'Plan Exp(%GSDP)'!C34</f>
        <v>25831</v>
      </c>
      <c r="D34" s="85">
        <f ca="1">+'Plan Exp(%GSDP)'!D34</f>
        <v>35769</v>
      </c>
      <c r="E34" s="18">
        <f ca="1">+'Plan Exp(%GSDP)'!E34</f>
        <v>35304.89</v>
      </c>
      <c r="F34" s="18">
        <f ca="1">+'Plan Exp(%GSDP)'!F34</f>
        <v>41237.89</v>
      </c>
      <c r="G34" s="18">
        <f ca="1">+'Plan Exp(%GSDP)'!G34</f>
        <v>51964.43</v>
      </c>
      <c r="H34" s="93">
        <v>19.025400000000001</v>
      </c>
      <c r="I34" s="93">
        <v>19.376300000000001</v>
      </c>
      <c r="J34" s="93">
        <v>19.7271</v>
      </c>
      <c r="K34" s="93">
        <v>20.0764</v>
      </c>
      <c r="L34" s="93">
        <v>20.425000000000001</v>
      </c>
      <c r="M34" s="466">
        <f t="shared" si="2"/>
        <v>1357.7112701966844</v>
      </c>
      <c r="N34" s="466">
        <f t="shared" si="2"/>
        <v>1846.0180736260277</v>
      </c>
      <c r="O34" s="466">
        <f t="shared" si="2"/>
        <v>1789.6644717165725</v>
      </c>
      <c r="P34" s="466">
        <f t="shared" si="2"/>
        <v>2054.0480365005678</v>
      </c>
      <c r="Q34" s="466">
        <f t="shared" si="2"/>
        <v>2544.1581395348835</v>
      </c>
    </row>
    <row r="35" spans="1:17" ht="17.25" customHeight="1">
      <c r="A35" s="3">
        <v>28</v>
      </c>
      <c r="B35" s="6" t="s">
        <v>43</v>
      </c>
      <c r="C35" s="85">
        <f ca="1">+'Plan Exp(%GSDP)'!C35</f>
        <v>10435.19</v>
      </c>
      <c r="D35" s="85">
        <f ca="1">+'Plan Exp(%GSDP)'!D35</f>
        <v>12469.51</v>
      </c>
      <c r="E35" s="18">
        <f ca="1">+'Plan Exp(%GSDP)'!E35</f>
        <v>14161.31</v>
      </c>
      <c r="F35" s="18">
        <f ca="1">+'Plan Exp(%GSDP)'!F35</f>
        <v>14651.8</v>
      </c>
      <c r="G35" s="18">
        <f ca="1">+'Plan Exp(%GSDP)'!G35</f>
        <v>25081.21</v>
      </c>
      <c r="H35" s="93">
        <v>8.6995000000000005</v>
      </c>
      <c r="I35" s="93">
        <v>8.7838999999999992</v>
      </c>
      <c r="J35" s="93">
        <v>8.8668999999999993</v>
      </c>
      <c r="K35" s="93">
        <v>8.9498999999999995</v>
      </c>
      <c r="L35" s="93">
        <v>9.032</v>
      </c>
      <c r="M35" s="466">
        <f t="shared" si="2"/>
        <v>1199.5160641416173</v>
      </c>
      <c r="N35" s="466">
        <f t="shared" si="2"/>
        <v>1419.5869716185296</v>
      </c>
      <c r="O35" s="466">
        <f t="shared" si="2"/>
        <v>1597.0981966639977</v>
      </c>
      <c r="P35" s="466">
        <f t="shared" si="2"/>
        <v>1637.0909172169522</v>
      </c>
      <c r="Q35" s="466">
        <f t="shared" si="2"/>
        <v>2776.927590788308</v>
      </c>
    </row>
    <row r="36" spans="1:17" s="87" customFormat="1" ht="17.25" customHeight="1">
      <c r="A36" s="84"/>
      <c r="B36" s="4" t="s">
        <v>44</v>
      </c>
      <c r="C36" s="86">
        <f t="shared" ref="C36:L36" si="3">SUM(C19:C35)</f>
        <v>202845.61</v>
      </c>
      <c r="D36" s="86">
        <f t="shared" si="3"/>
        <v>252504.22000000003</v>
      </c>
      <c r="E36" s="78">
        <f ca="1">SUM(E19:E35)</f>
        <v>275920.48</v>
      </c>
      <c r="F36" s="78">
        <f ca="1">SUM(F19:F35)</f>
        <v>318959.40000000002</v>
      </c>
      <c r="G36" s="78">
        <f ca="1">SUM(G19:G35)</f>
        <v>418144.58000000007</v>
      </c>
      <c r="H36" s="94">
        <f t="shared" si="3"/>
        <v>105.41780000000001</v>
      </c>
      <c r="I36" s="94">
        <f t="shared" si="3"/>
        <v>106.8686</v>
      </c>
      <c r="J36" s="94">
        <f t="shared" si="3"/>
        <v>108.3036</v>
      </c>
      <c r="K36" s="94">
        <f t="shared" si="3"/>
        <v>109.72179999999999</v>
      </c>
      <c r="L36" s="94">
        <f t="shared" si="3"/>
        <v>111.12369999999999</v>
      </c>
      <c r="M36" s="467">
        <f t="shared" si="2"/>
        <v>1924.2064433141268</v>
      </c>
      <c r="N36" s="467">
        <f t="shared" si="2"/>
        <v>2362.7540736942378</v>
      </c>
      <c r="O36" s="467">
        <f>+E36/J36</f>
        <v>2547.6575109229975</v>
      </c>
      <c r="P36" s="467">
        <f>+F36/K36</f>
        <v>2906.9829332001486</v>
      </c>
      <c r="Q36" s="467">
        <f>+G36/L36</f>
        <v>3762.874886275386</v>
      </c>
    </row>
    <row r="37" spans="1:17" ht="17.25" customHeight="1">
      <c r="A37" s="3"/>
      <c r="B37" s="4" t="s">
        <v>45</v>
      </c>
      <c r="C37" s="86"/>
      <c r="D37" s="86"/>
      <c r="E37" s="78"/>
      <c r="F37" s="78"/>
      <c r="G37" s="78"/>
      <c r="H37" s="94"/>
      <c r="I37" s="94"/>
      <c r="J37" s="94"/>
      <c r="K37" s="94"/>
      <c r="L37" s="94"/>
      <c r="M37" s="466"/>
      <c r="N37" s="466"/>
      <c r="O37" s="463"/>
      <c r="P37" s="463"/>
      <c r="Q37" s="463"/>
    </row>
    <row r="38" spans="1:17" ht="17.25" customHeight="1">
      <c r="A38" s="3">
        <v>29</v>
      </c>
      <c r="B38" s="6" t="s">
        <v>46</v>
      </c>
      <c r="C38" s="85">
        <f ca="1">+'Plan Exp(%GSDP)'!C38</f>
        <v>8785.0400000000009</v>
      </c>
      <c r="D38" s="85">
        <f ca="1">+'Plan Exp(%GSDP)'!D38</f>
        <v>9635.35</v>
      </c>
      <c r="E38" s="18">
        <f ca="1">+'Plan Exp(%GSDP)'!E38</f>
        <v>11128.24</v>
      </c>
      <c r="F38" s="18">
        <f ca="1">+'Plan Exp(%GSDP)'!F38</f>
        <v>10544.26</v>
      </c>
      <c r="G38" s="18">
        <f ca="1">+'Plan Exp(%GSDP)'!G38</f>
        <v>14350</v>
      </c>
      <c r="H38" s="93">
        <v>1.6955</v>
      </c>
      <c r="I38" s="93">
        <v>1.7437</v>
      </c>
      <c r="J38" s="93">
        <v>1.7935000000000001</v>
      </c>
      <c r="K38" s="93">
        <v>1.8451</v>
      </c>
      <c r="L38" s="93">
        <v>1.8983000000000001</v>
      </c>
      <c r="M38" s="466">
        <f t="shared" ref="M38:Q40" si="4">+C38/H38</f>
        <v>5181.3860218224718</v>
      </c>
      <c r="N38" s="466">
        <f t="shared" si="4"/>
        <v>5525.8071916040608</v>
      </c>
      <c r="O38" s="466">
        <f t="shared" si="4"/>
        <v>6204.7616392528571</v>
      </c>
      <c r="P38" s="466">
        <f t="shared" si="4"/>
        <v>5714.7363286542741</v>
      </c>
      <c r="Q38" s="466">
        <f t="shared" si="4"/>
        <v>7559.3952483801295</v>
      </c>
    </row>
    <row r="39" spans="1:17" ht="17.25" customHeight="1">
      <c r="A39" s="3">
        <v>30</v>
      </c>
      <c r="B39" s="6" t="s">
        <v>47</v>
      </c>
      <c r="C39" s="85">
        <f ca="1">+'Plan Exp(%GSDP)'!C39</f>
        <v>1112</v>
      </c>
      <c r="D39" s="85">
        <f ca="1">+'Plan Exp(%GSDP)'!D39</f>
        <v>1077</v>
      </c>
      <c r="E39" s="18">
        <f ca="1">+'Plan Exp(%GSDP)'!E39</f>
        <v>1466</v>
      </c>
      <c r="F39" s="18">
        <f ca="1">+'Plan Exp(%GSDP)'!F39</f>
        <v>1607</v>
      </c>
      <c r="G39" s="18">
        <f ca="1">+'Plan Exp(%GSDP)'!G39</f>
        <v>2809</v>
      </c>
      <c r="H39" s="93">
        <v>0.12039999999999999</v>
      </c>
      <c r="I39" s="93">
        <v>0.12670000000000001</v>
      </c>
      <c r="J39" s="93">
        <v>0.1331</v>
      </c>
      <c r="K39" s="93">
        <v>0.1391</v>
      </c>
      <c r="L39" s="93">
        <v>0.14510000000000001</v>
      </c>
      <c r="M39" s="466">
        <f t="shared" si="4"/>
        <v>9235.8803986710973</v>
      </c>
      <c r="N39" s="466">
        <f t="shared" si="4"/>
        <v>8500.3946329913178</v>
      </c>
      <c r="O39" s="466">
        <f t="shared" si="4"/>
        <v>11014.27498121713</v>
      </c>
      <c r="P39" s="466">
        <f t="shared" si="4"/>
        <v>11552.839683680804</v>
      </c>
      <c r="Q39" s="466">
        <f t="shared" si="4"/>
        <v>19359.062715368709</v>
      </c>
    </row>
    <row r="40" spans="1:17" s="87" customFormat="1" ht="17.25" customHeight="1">
      <c r="A40" s="84"/>
      <c r="B40" s="4" t="s">
        <v>113</v>
      </c>
      <c r="C40" s="86">
        <f t="shared" ref="C40:J40" si="5">SUM(C38:C39)</f>
        <v>9897.0400000000009</v>
      </c>
      <c r="D40" s="86">
        <f t="shared" si="5"/>
        <v>10712.35</v>
      </c>
      <c r="E40" s="78">
        <f>SUM(E38:E39)</f>
        <v>12594.24</v>
      </c>
      <c r="F40" s="78">
        <f>SUM(F38:F39)</f>
        <v>12151.26</v>
      </c>
      <c r="G40" s="78">
        <f>SUM(G38:G39)</f>
        <v>17159</v>
      </c>
      <c r="H40" s="94">
        <f t="shared" si="5"/>
        <v>1.8159000000000001</v>
      </c>
      <c r="I40" s="94">
        <f t="shared" si="5"/>
        <v>1.8704000000000001</v>
      </c>
      <c r="J40" s="94">
        <f t="shared" si="5"/>
        <v>1.9266000000000001</v>
      </c>
      <c r="K40" s="94">
        <f>SUM(K38:K39)</f>
        <v>1.9842</v>
      </c>
      <c r="L40" s="94">
        <f>SUM(L38:L39)</f>
        <v>2.0434000000000001</v>
      </c>
      <c r="M40" s="467">
        <f t="shared" si="4"/>
        <v>5450.2120160801805</v>
      </c>
      <c r="N40" s="467">
        <f t="shared" si="4"/>
        <v>5727.3043199315653</v>
      </c>
      <c r="O40" s="467">
        <f t="shared" si="4"/>
        <v>6537.028962939894</v>
      </c>
      <c r="P40" s="467">
        <f t="shared" si="4"/>
        <v>6124.0096764439068</v>
      </c>
      <c r="Q40" s="467">
        <f t="shared" si="4"/>
        <v>8397.2790447293719</v>
      </c>
    </row>
    <row r="41" spans="1:17" s="87" customFormat="1" ht="7.5" customHeight="1">
      <c r="A41" s="84"/>
      <c r="B41" s="4"/>
      <c r="C41" s="86"/>
      <c r="D41" s="86"/>
      <c r="E41" s="78"/>
      <c r="F41" s="78"/>
      <c r="G41" s="78"/>
      <c r="H41" s="94"/>
      <c r="I41" s="94"/>
      <c r="J41" s="94"/>
      <c r="K41" s="94"/>
      <c r="L41" s="94"/>
      <c r="M41" s="466"/>
      <c r="N41" s="466"/>
      <c r="O41" s="466"/>
      <c r="P41" s="466"/>
      <c r="Q41" s="466"/>
    </row>
    <row r="42" spans="1:17" s="87" customFormat="1">
      <c r="A42" s="84"/>
      <c r="B42" s="4" t="s">
        <v>49</v>
      </c>
      <c r="C42" s="86">
        <f t="shared" ref="C42:J42" si="6">+C17+C36+C40</f>
        <v>236451.25</v>
      </c>
      <c r="D42" s="86">
        <f t="shared" si="6"/>
        <v>292046.17</v>
      </c>
      <c r="E42" s="78">
        <f>+E17+E36+E40</f>
        <v>319635.36</v>
      </c>
      <c r="F42" s="78">
        <f>+F17+F36+F40</f>
        <v>368641.38</v>
      </c>
      <c r="G42" s="78">
        <f>+G17+G36+G40</f>
        <v>481621.5400000001</v>
      </c>
      <c r="H42" s="94">
        <f t="shared" si="6"/>
        <v>114.24500000000002</v>
      </c>
      <c r="I42" s="94">
        <f t="shared" si="6"/>
        <v>115.8409</v>
      </c>
      <c r="J42" s="94">
        <f t="shared" si="6"/>
        <v>117.42229999999999</v>
      </c>
      <c r="K42" s="94">
        <f>+K17+K36+K40</f>
        <v>118.98739999999999</v>
      </c>
      <c r="L42" s="94">
        <f>+L17+L36+L40</f>
        <v>120.53729999999999</v>
      </c>
      <c r="M42" s="467">
        <f>+C42/H42</f>
        <v>2069.6857630530872</v>
      </c>
      <c r="N42" s="467">
        <f>+D42/I42</f>
        <v>2521.0972117792589</v>
      </c>
      <c r="O42" s="467">
        <f>+E42/J42</f>
        <v>2722.1009978513453</v>
      </c>
      <c r="P42" s="467">
        <f>+F42/K42</f>
        <v>3098.1547626051165</v>
      </c>
      <c r="Q42" s="467">
        <f>+G42/L42</f>
        <v>3995.6224338856118</v>
      </c>
    </row>
    <row r="43" spans="1:17">
      <c r="A43" s="95"/>
      <c r="B43" s="23" t="s">
        <v>50</v>
      </c>
      <c r="C43" s="29"/>
      <c r="D43" s="29"/>
      <c r="E43" s="24"/>
      <c r="F43" s="24"/>
      <c r="G43" s="24"/>
      <c r="H43" s="29"/>
      <c r="I43" s="29"/>
      <c r="J43" s="29"/>
      <c r="K43" s="29"/>
      <c r="L43" s="29"/>
      <c r="M43" s="29"/>
      <c r="N43" s="29"/>
    </row>
  </sheetData>
  <mergeCells count="7">
    <mergeCell ref="A1:Q1"/>
    <mergeCell ref="H4:L4"/>
    <mergeCell ref="B2:B3"/>
    <mergeCell ref="A2:A3"/>
    <mergeCell ref="C2:G2"/>
    <mergeCell ref="H2:L2"/>
    <mergeCell ref="M2:Q2"/>
  </mergeCells>
  <phoneticPr fontId="63" type="noConversion"/>
  <printOptions horizontalCentered="1"/>
  <pageMargins left="0.35433070866141736" right="0.15748031496062992" top="0.78740157480314965" bottom="0.39370078740157483" header="0" footer="0"/>
  <pageSetup paperSize="9" scale="69" orientation="landscape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RowHeight="12.75"/>
  <cols>
    <col min="1" max="1" width="5.5703125" style="26" customWidth="1"/>
    <col min="2" max="2" width="37" customWidth="1"/>
    <col min="3" max="3" width="10.85546875" customWidth="1"/>
    <col min="4" max="4" width="13.140625" customWidth="1"/>
    <col min="5" max="5" width="11.5703125" style="14" bestFit="1" customWidth="1"/>
    <col min="6" max="6" width="11.5703125" style="14" customWidth="1"/>
    <col min="7" max="7" width="10.85546875" style="14" customWidth="1"/>
    <col min="8" max="8" width="10.85546875" customWidth="1"/>
    <col min="9" max="9" width="12.7109375" customWidth="1"/>
    <col min="10" max="11" width="11.5703125" bestFit="1" customWidth="1"/>
    <col min="12" max="12" width="10.85546875" customWidth="1"/>
    <col min="13" max="13" width="12.140625" customWidth="1"/>
    <col min="14" max="14" width="12.5703125" customWidth="1"/>
    <col min="15" max="15" width="11.5703125" bestFit="1" customWidth="1"/>
    <col min="16" max="16" width="11.5703125" customWidth="1"/>
  </cols>
  <sheetData>
    <row r="1" spans="1:17" ht="21.75" customHeight="1">
      <c r="A1" s="644" t="s">
        <v>292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1"/>
      <c r="M1" s="641"/>
      <c r="N1" s="641"/>
    </row>
    <row r="2" spans="1:17" ht="46.5" customHeight="1">
      <c r="A2" s="636" t="s">
        <v>99</v>
      </c>
      <c r="B2" s="656" t="s">
        <v>318</v>
      </c>
      <c r="C2" s="645" t="s">
        <v>323</v>
      </c>
      <c r="D2" s="646"/>
      <c r="E2" s="646"/>
      <c r="F2" s="646"/>
      <c r="G2" s="647"/>
      <c r="H2" s="645" t="s">
        <v>319</v>
      </c>
      <c r="I2" s="646"/>
      <c r="J2" s="646"/>
      <c r="K2" s="646"/>
      <c r="L2" s="647"/>
      <c r="M2" s="642" t="s">
        <v>114</v>
      </c>
      <c r="N2" s="642"/>
      <c r="O2" s="642"/>
      <c r="P2" s="642"/>
      <c r="Q2" s="642"/>
    </row>
    <row r="3" spans="1:17" s="83" customFormat="1" ht="28.5" customHeight="1">
      <c r="A3" s="637"/>
      <c r="B3" s="657"/>
      <c r="C3" s="82" t="s">
        <v>55</v>
      </c>
      <c r="D3" s="82" t="s">
        <v>56</v>
      </c>
      <c r="E3" s="88" t="s">
        <v>7</v>
      </c>
      <c r="F3" s="88" t="s">
        <v>8</v>
      </c>
      <c r="G3" s="88" t="s">
        <v>8</v>
      </c>
      <c r="H3" s="82" t="s">
        <v>55</v>
      </c>
      <c r="I3" s="82" t="s">
        <v>56</v>
      </c>
      <c r="J3" s="88" t="s">
        <v>7</v>
      </c>
      <c r="K3" s="88" t="s">
        <v>8</v>
      </c>
      <c r="L3" s="88" t="s">
        <v>9</v>
      </c>
      <c r="M3" s="88" t="s">
        <v>55</v>
      </c>
      <c r="N3" s="88" t="s">
        <v>56</v>
      </c>
      <c r="O3" s="88" t="s">
        <v>7</v>
      </c>
      <c r="P3" s="88" t="s">
        <v>8</v>
      </c>
      <c r="Q3" s="88" t="s">
        <v>9</v>
      </c>
    </row>
    <row r="4" spans="1:17" ht="19.5" customHeight="1">
      <c r="A4" s="125"/>
      <c r="B4" s="127">
        <v>41129</v>
      </c>
      <c r="C4" s="84" t="s">
        <v>103</v>
      </c>
      <c r="D4" s="84" t="s">
        <v>103</v>
      </c>
      <c r="E4" s="15" t="s">
        <v>10</v>
      </c>
      <c r="F4" s="15" t="s">
        <v>71</v>
      </c>
      <c r="G4" s="15" t="s">
        <v>12</v>
      </c>
      <c r="H4" s="84" t="s">
        <v>103</v>
      </c>
      <c r="I4" s="84" t="s">
        <v>103</v>
      </c>
      <c r="J4" s="15" t="s">
        <v>103</v>
      </c>
      <c r="K4" s="15" t="s">
        <v>71</v>
      </c>
      <c r="L4" s="15" t="s">
        <v>12</v>
      </c>
      <c r="M4" s="15" t="s">
        <v>103</v>
      </c>
      <c r="N4" s="15" t="s">
        <v>103</v>
      </c>
      <c r="O4" s="15" t="s">
        <v>103</v>
      </c>
      <c r="P4" s="15" t="s">
        <v>71</v>
      </c>
      <c r="Q4" s="15" t="s">
        <v>12</v>
      </c>
    </row>
    <row r="5" spans="1:17" ht="21" customHeight="1">
      <c r="A5" s="3"/>
      <c r="B5" s="4" t="s">
        <v>13</v>
      </c>
      <c r="C5" s="84"/>
      <c r="D5" s="84"/>
      <c r="E5" s="15"/>
      <c r="F5" s="15"/>
      <c r="G5" s="15"/>
      <c r="H5" s="84"/>
      <c r="I5" s="84"/>
      <c r="J5" s="15"/>
      <c r="K5" s="15"/>
      <c r="L5" s="15"/>
      <c r="M5" s="15"/>
      <c r="N5" s="15"/>
      <c r="O5" s="19"/>
      <c r="P5" s="19"/>
      <c r="Q5" s="19"/>
    </row>
    <row r="6" spans="1:17" ht="21" customHeight="1">
      <c r="A6" s="3">
        <v>1</v>
      </c>
      <c r="B6" s="6" t="s">
        <v>14</v>
      </c>
      <c r="C6" s="10">
        <v>1419.38</v>
      </c>
      <c r="D6" s="10">
        <v>1808.98</v>
      </c>
      <c r="E6" s="9">
        <v>2333.9699999999998</v>
      </c>
      <c r="F6" s="9">
        <v>2561.5700000000002</v>
      </c>
      <c r="G6" s="9">
        <v>2880.21</v>
      </c>
      <c r="H6" s="85">
        <f ca="1">+'Plan Exp(%GSDP)'!H6</f>
        <v>4810</v>
      </c>
      <c r="I6" s="85">
        <f ca="1">+'Plan Exp(%GSDP)'!I6</f>
        <v>5687</v>
      </c>
      <c r="J6" s="85">
        <f ca="1">+'Plan Exp(%GSDP)'!J6</f>
        <v>7085</v>
      </c>
      <c r="K6" s="85">
        <f ca="1">+'Plan Exp(%GSDP)'!K6</f>
        <v>8233</v>
      </c>
      <c r="L6" s="85">
        <f ca="1">+'Plan Exp(%GSDP)'!L6</f>
        <v>9357</v>
      </c>
      <c r="M6" s="10">
        <f>+C6/H6*100</f>
        <v>29.508939708939714</v>
      </c>
      <c r="N6" s="10">
        <f>+D6/I6*100</f>
        <v>31.809038157200632</v>
      </c>
      <c r="O6" s="10">
        <f>+E6/J6*100</f>
        <v>32.942413549752999</v>
      </c>
      <c r="P6" s="10">
        <f>+F6/K6*100</f>
        <v>31.113445888497509</v>
      </c>
      <c r="Q6" s="10">
        <f>+G6/L6*100</f>
        <v>30.781340173132417</v>
      </c>
    </row>
    <row r="7" spans="1:17" ht="21" customHeight="1">
      <c r="A7" s="3">
        <v>2</v>
      </c>
      <c r="B7" s="6" t="s">
        <v>15</v>
      </c>
      <c r="C7" s="10">
        <v>10894.07</v>
      </c>
      <c r="D7" s="10">
        <v>11237.28</v>
      </c>
      <c r="E7" s="9">
        <v>15180.56</v>
      </c>
      <c r="F7" s="9">
        <v>20013.990000000002</v>
      </c>
      <c r="G7" s="9">
        <v>24530.12</v>
      </c>
      <c r="H7" s="85">
        <f ca="1">+'Plan Exp(%GSDP)'!H7</f>
        <v>71076</v>
      </c>
      <c r="I7" s="85">
        <f ca="1">+'Plan Exp(%GSDP)'!I7</f>
        <v>81074</v>
      </c>
      <c r="J7" s="85">
        <f ca="1">+'Plan Exp(%GSDP)'!J7</f>
        <v>92737</v>
      </c>
      <c r="K7" s="85">
        <f ca="1">+'Plan Exp(%GSDP)'!K7</f>
        <v>104015</v>
      </c>
      <c r="L7" s="85">
        <f ca="1">+'Plan Exp(%GSDP)'!L7</f>
        <v>115408</v>
      </c>
      <c r="M7" s="10">
        <f t="shared" ref="M7:Q22" si="0">+C7/H7*100</f>
        <v>15.327353818447859</v>
      </c>
      <c r="N7" s="10">
        <f t="shared" si="0"/>
        <v>13.860522485630414</v>
      </c>
      <c r="O7" s="10">
        <f t="shared" si="0"/>
        <v>16.369474966841715</v>
      </c>
      <c r="P7" s="10">
        <f t="shared" si="0"/>
        <v>19.241445945296356</v>
      </c>
      <c r="Q7" s="10">
        <f t="shared" si="0"/>
        <v>21.255129627062246</v>
      </c>
    </row>
    <row r="8" spans="1:17" ht="21" customHeight="1">
      <c r="A8" s="3">
        <v>3</v>
      </c>
      <c r="B8" s="6" t="s">
        <v>16</v>
      </c>
      <c r="C8" s="10">
        <v>7192.83</v>
      </c>
      <c r="D8" s="10">
        <v>8723.66</v>
      </c>
      <c r="E8" s="9">
        <v>9935.18</v>
      </c>
      <c r="F8" s="9">
        <v>11613.79</v>
      </c>
      <c r="G8" s="9">
        <v>12653.18</v>
      </c>
      <c r="H8" s="85">
        <f ca="1">+'Plan Exp(%GSDP)'!H8</f>
        <v>33963</v>
      </c>
      <c r="I8" s="85">
        <f ca="1">+'Plan Exp(%GSDP)'!I8</f>
        <v>41483</v>
      </c>
      <c r="J8" s="85">
        <f ca="1">+'Plan Exp(%GSDP)'!J8</f>
        <v>48189</v>
      </c>
      <c r="K8" s="85">
        <f ca="1">+'Plan Exp(%GSDP)'!K8</f>
        <v>56119</v>
      </c>
      <c r="L8" s="85">
        <f ca="1">+'Plan Exp(%GSDP)'!L8</f>
        <v>63331</v>
      </c>
      <c r="M8" s="10">
        <f t="shared" si="0"/>
        <v>21.178429467361539</v>
      </c>
      <c r="N8" s="10">
        <f t="shared" si="0"/>
        <v>21.029481956464092</v>
      </c>
      <c r="O8" s="10">
        <f t="shared" si="0"/>
        <v>20.617111788997487</v>
      </c>
      <c r="P8" s="10">
        <f t="shared" si="0"/>
        <v>20.694933979579112</v>
      </c>
      <c r="Q8" s="10">
        <f t="shared" si="0"/>
        <v>19.979441347839131</v>
      </c>
    </row>
    <row r="9" spans="1:17" ht="21" customHeight="1">
      <c r="A9" s="3">
        <v>4</v>
      </c>
      <c r="B9" s="6" t="s">
        <v>60</v>
      </c>
      <c r="C9" s="10">
        <v>11741.88</v>
      </c>
      <c r="D9" s="10">
        <v>15005.54</v>
      </c>
      <c r="E9" s="9">
        <v>14918.37</v>
      </c>
      <c r="F9" s="9">
        <v>17962.98</v>
      </c>
      <c r="G9" s="9">
        <v>21895.72</v>
      </c>
      <c r="H9" s="85">
        <f ca="1">+'Plan Exp(%GSDP)'!H9</f>
        <v>37099</v>
      </c>
      <c r="I9" s="85">
        <f ca="1">+'Plan Exp(%GSDP)'!I9</f>
        <v>42315</v>
      </c>
      <c r="J9" s="85">
        <f ca="1">+'Plan Exp(%GSDP)'!J9</f>
        <v>48382</v>
      </c>
      <c r="K9" s="85">
        <f ca="1">+'Plan Exp(%GSDP)'!K9</f>
        <v>55446</v>
      </c>
      <c r="L9" s="85">
        <f ca="1">+'Plan Exp(%GSDP)'!L9</f>
        <v>63589</v>
      </c>
      <c r="M9" s="10">
        <f t="shared" si="0"/>
        <v>31.650125340305667</v>
      </c>
      <c r="N9" s="10">
        <f t="shared" si="0"/>
        <v>35.461514829256771</v>
      </c>
      <c r="O9" s="10">
        <f t="shared" si="0"/>
        <v>30.834545905502047</v>
      </c>
      <c r="P9" s="10">
        <f t="shared" si="0"/>
        <v>32.397251379720807</v>
      </c>
      <c r="Q9" s="10">
        <f t="shared" si="0"/>
        <v>34.433188130022494</v>
      </c>
    </row>
    <row r="10" spans="1:17" ht="21" customHeight="1">
      <c r="A10" s="3">
        <v>5</v>
      </c>
      <c r="B10" s="6" t="s">
        <v>18</v>
      </c>
      <c r="C10" s="10">
        <v>1814.77</v>
      </c>
      <c r="D10" s="10">
        <v>2135.5700000000002</v>
      </c>
      <c r="E10" s="9">
        <v>2303.9</v>
      </c>
      <c r="F10" s="9">
        <v>2980.68</v>
      </c>
      <c r="G10" s="9">
        <v>3116.49</v>
      </c>
      <c r="H10" s="85">
        <f ca="1">+'Plan Exp(%GSDP)'!H10</f>
        <v>6783</v>
      </c>
      <c r="I10" s="85">
        <f ca="1">+'Plan Exp(%GSDP)'!I10</f>
        <v>7399</v>
      </c>
      <c r="J10" s="85">
        <f ca="1">+'Plan Exp(%GSDP)'!J10</f>
        <v>8314</v>
      </c>
      <c r="K10" s="85">
        <f ca="1">+'Plan Exp(%GSDP)'!K10</f>
        <v>9198</v>
      </c>
      <c r="L10" s="85">
        <f ca="1">+'Plan Exp(%GSDP)'!L10</f>
        <v>10188</v>
      </c>
      <c r="M10" s="10">
        <f t="shared" si="0"/>
        <v>26.754680819696297</v>
      </c>
      <c r="N10" s="10">
        <f t="shared" si="0"/>
        <v>28.8629544533045</v>
      </c>
      <c r="O10" s="10">
        <f t="shared" si="0"/>
        <v>27.711089728169352</v>
      </c>
      <c r="P10" s="10">
        <f t="shared" si="0"/>
        <v>32.405740378343118</v>
      </c>
      <c r="Q10" s="10">
        <f t="shared" si="0"/>
        <v>30.58981154299175</v>
      </c>
    </row>
    <row r="11" spans="1:17" s="99" customFormat="1" ht="21" customHeight="1">
      <c r="A11" s="96">
        <v>6</v>
      </c>
      <c r="B11" s="97" t="s">
        <v>19</v>
      </c>
      <c r="C11" s="10">
        <v>1543.82</v>
      </c>
      <c r="D11" s="10">
        <v>1684.51</v>
      </c>
      <c r="E11" s="9">
        <v>2152.4499999999998</v>
      </c>
      <c r="F11" s="9">
        <v>2560.87</v>
      </c>
      <c r="G11" s="9">
        <v>2603.87</v>
      </c>
      <c r="H11" s="85">
        <f ca="1">+'Plan Exp(%GSDP)'!H11</f>
        <v>9735</v>
      </c>
      <c r="I11" s="85">
        <f ca="1">+'Plan Exp(%GSDP)'!I11</f>
        <v>11617</v>
      </c>
      <c r="J11" s="85">
        <f ca="1">+'Plan Exp(%GSDP)'!J11</f>
        <v>12709</v>
      </c>
      <c r="K11" s="85">
        <f ca="1">+'Plan Exp(%GSDP)'!K11</f>
        <v>14086</v>
      </c>
      <c r="L11" s="85">
        <f ca="1">+'Plan Exp(%GSDP)'!L11</f>
        <v>15895</v>
      </c>
      <c r="M11" s="98">
        <f t="shared" si="0"/>
        <v>15.858448895737032</v>
      </c>
      <c r="N11" s="98">
        <f t="shared" si="0"/>
        <v>14.500387363346819</v>
      </c>
      <c r="O11" s="98">
        <f t="shared" si="0"/>
        <v>16.936423007317646</v>
      </c>
      <c r="P11" s="10">
        <f t="shared" si="0"/>
        <v>18.180249893511288</v>
      </c>
      <c r="Q11" s="10">
        <f t="shared" si="0"/>
        <v>16.38169235608682</v>
      </c>
    </row>
    <row r="12" spans="1:17" ht="21" customHeight="1">
      <c r="A12" s="3">
        <v>7</v>
      </c>
      <c r="B12" s="6" t="s">
        <v>20</v>
      </c>
      <c r="C12" s="10">
        <v>1196.32</v>
      </c>
      <c r="D12" s="10">
        <v>1633.53</v>
      </c>
      <c r="E12" s="9">
        <v>1813.13</v>
      </c>
      <c r="F12" s="9">
        <v>2227.65</v>
      </c>
      <c r="G12" s="9">
        <v>2446.6</v>
      </c>
      <c r="H12" s="85">
        <f ca="1">+'Plan Exp(%GSDP)'!H12</f>
        <v>3816</v>
      </c>
      <c r="I12" s="85">
        <f ca="1">+'Plan Exp(%GSDP)'!I12</f>
        <v>4577</v>
      </c>
      <c r="J12" s="85">
        <f ca="1">+'Plan Exp(%GSDP)'!J12</f>
        <v>5260</v>
      </c>
      <c r="K12" s="85">
        <f ca="1">+'Plan Exp(%GSDP)'!K12</f>
        <v>6058</v>
      </c>
      <c r="L12" s="85">
        <f ca="1">+'Plan Exp(%GSDP)'!L12</f>
        <v>6666.8290000000006</v>
      </c>
      <c r="M12" s="10">
        <f t="shared" si="0"/>
        <v>31.350104821802933</v>
      </c>
      <c r="N12" s="10">
        <f t="shared" si="0"/>
        <v>35.689971597116013</v>
      </c>
      <c r="O12" s="10">
        <f t="shared" si="0"/>
        <v>34.470152091254761</v>
      </c>
      <c r="P12" s="10">
        <f t="shared" si="0"/>
        <v>36.772036975899638</v>
      </c>
      <c r="Q12" s="10">
        <f t="shared" si="0"/>
        <v>36.698106401109129</v>
      </c>
    </row>
    <row r="13" spans="1:17" ht="21" customHeight="1">
      <c r="A13" s="3">
        <v>8</v>
      </c>
      <c r="B13" s="6" t="s">
        <v>21</v>
      </c>
      <c r="C13" s="10">
        <v>2186.19</v>
      </c>
      <c r="D13" s="10">
        <v>2449.83</v>
      </c>
      <c r="E13" s="9">
        <v>2951.58</v>
      </c>
      <c r="F13" s="9">
        <v>3720.09</v>
      </c>
      <c r="G13" s="9">
        <v>4023.08</v>
      </c>
      <c r="H13" s="85">
        <f ca="1">+'Plan Exp(%GSDP)'!H13</f>
        <v>8075</v>
      </c>
      <c r="I13" s="85">
        <f ca="1">+'Plan Exp(%GSDP)'!I13</f>
        <v>9436</v>
      </c>
      <c r="J13" s="85">
        <f ca="1">+'Plan Exp(%GSDP)'!J13</f>
        <v>10507</v>
      </c>
      <c r="K13" s="85">
        <f ca="1">+'Plan Exp(%GSDP)'!K13</f>
        <v>11190</v>
      </c>
      <c r="L13" s="85">
        <f ca="1">+'Plan Exp(%GSDP)'!L13</f>
        <v>12134</v>
      </c>
      <c r="M13" s="10">
        <f t="shared" si="0"/>
        <v>27.073560371517029</v>
      </c>
      <c r="N13" s="10">
        <f t="shared" si="0"/>
        <v>25.962590080542604</v>
      </c>
      <c r="O13" s="10">
        <f t="shared" si="0"/>
        <v>28.091558008946414</v>
      </c>
      <c r="P13" s="10">
        <f t="shared" si="0"/>
        <v>33.244772117962469</v>
      </c>
      <c r="Q13" s="10">
        <f t="shared" si="0"/>
        <v>33.15543102027361</v>
      </c>
    </row>
    <row r="14" spans="1:17" ht="21" customHeight="1">
      <c r="A14" s="3">
        <v>9</v>
      </c>
      <c r="B14" s="6" t="s">
        <v>22</v>
      </c>
      <c r="C14" s="10">
        <v>727.08</v>
      </c>
      <c r="D14" s="10">
        <v>863.07</v>
      </c>
      <c r="E14" s="9">
        <v>1256.67</v>
      </c>
      <c r="F14" s="9">
        <v>1336.64</v>
      </c>
      <c r="G14" s="9">
        <v>1454.03</v>
      </c>
      <c r="H14" s="85">
        <f ca="1">+'Plan Exp(%GSDP)'!H14</f>
        <v>2506</v>
      </c>
      <c r="I14" s="85">
        <f ca="1">+'Plan Exp(%GSDP)'!I14</f>
        <v>3229</v>
      </c>
      <c r="J14" s="85">
        <f ca="1">+'Plan Exp(%GSDP)'!J14</f>
        <v>6133</v>
      </c>
      <c r="K14" s="85">
        <f ca="1">+'Plan Exp(%GSDP)'!K14</f>
        <v>7145</v>
      </c>
      <c r="L14" s="85">
        <f ca="1">+'Plan Exp(%GSDP)'!L14</f>
        <v>8400</v>
      </c>
      <c r="M14" s="10">
        <f t="shared" si="0"/>
        <v>29.013567438148446</v>
      </c>
      <c r="N14" s="10">
        <f t="shared" si="0"/>
        <v>26.72870857850728</v>
      </c>
      <c r="O14" s="10">
        <f t="shared" si="0"/>
        <v>20.490298385781838</v>
      </c>
      <c r="P14" s="10">
        <f t="shared" si="0"/>
        <v>18.707347795661303</v>
      </c>
      <c r="Q14" s="10">
        <f t="shared" si="0"/>
        <v>17.309880952380951</v>
      </c>
    </row>
    <row r="15" spans="1:17" ht="21" customHeight="1">
      <c r="A15" s="3">
        <v>10</v>
      </c>
      <c r="B15" s="6" t="s">
        <v>23</v>
      </c>
      <c r="C15" s="10">
        <v>2296.1799999999998</v>
      </c>
      <c r="D15" s="10">
        <v>2583.4699999999998</v>
      </c>
      <c r="E15" s="9">
        <v>3680.6</v>
      </c>
      <c r="F15" s="9">
        <v>3737.16</v>
      </c>
      <c r="G15" s="9">
        <v>4213.07</v>
      </c>
      <c r="H15" s="85">
        <f ca="1">+'Plan Exp(%GSDP)'!H15</f>
        <v>11797</v>
      </c>
      <c r="I15" s="85">
        <f ca="1">+'Plan Exp(%GSDP)'!I15</f>
        <v>13573</v>
      </c>
      <c r="J15" s="85">
        <f ca="1">+'Plan Exp(%GSDP)'!J15</f>
        <v>15348</v>
      </c>
      <c r="K15" s="85">
        <f ca="1">+'Plan Exp(%GSDP)'!K15</f>
        <v>17387</v>
      </c>
      <c r="L15" s="85">
        <f ca="1">+'Plan Exp(%GSDP)'!L15</f>
        <v>19731</v>
      </c>
      <c r="M15" s="10">
        <f t="shared" si="0"/>
        <v>19.464101042637957</v>
      </c>
      <c r="N15" s="10">
        <f t="shared" si="0"/>
        <v>19.033890812642746</v>
      </c>
      <c r="O15" s="10">
        <f t="shared" si="0"/>
        <v>23.980974719833203</v>
      </c>
      <c r="P15" s="10">
        <f t="shared" si="0"/>
        <v>21.49398976246621</v>
      </c>
      <c r="Q15" s="10">
        <f t="shared" si="0"/>
        <v>21.352541685672293</v>
      </c>
    </row>
    <row r="16" spans="1:17" ht="21" customHeight="1">
      <c r="A16" s="3">
        <v>11</v>
      </c>
      <c r="B16" s="6" t="s">
        <v>24</v>
      </c>
      <c r="C16" s="10">
        <v>6300.43</v>
      </c>
      <c r="D16" s="10">
        <v>7372.25</v>
      </c>
      <c r="E16" s="9">
        <v>10386.799999999999</v>
      </c>
      <c r="F16" s="9">
        <v>10985.74</v>
      </c>
      <c r="G16" s="9">
        <v>12802.62</v>
      </c>
      <c r="H16" s="85">
        <f ca="1">+'Plan Exp(%GSDP)'!H16</f>
        <v>45856</v>
      </c>
      <c r="I16" s="85">
        <f ca="1">+'Plan Exp(%GSDP)'!I16</f>
        <v>56025</v>
      </c>
      <c r="J16" s="85">
        <f ca="1">+'Plan Exp(%GSDP)'!J16</f>
        <v>70855</v>
      </c>
      <c r="K16" s="85">
        <f ca="1">+'Plan Exp(%GSDP)'!K16</f>
        <v>82460</v>
      </c>
      <c r="L16" s="85">
        <f ca="1">+'Plan Exp(%GSDP)'!L16</f>
        <v>95201</v>
      </c>
      <c r="M16" s="10">
        <f t="shared" si="0"/>
        <v>13.739597871598047</v>
      </c>
      <c r="N16" s="10">
        <f t="shared" si="0"/>
        <v>13.158857652833555</v>
      </c>
      <c r="O16" s="10">
        <f t="shared" si="0"/>
        <v>14.659233646178816</v>
      </c>
      <c r="P16" s="10">
        <f t="shared" si="0"/>
        <v>13.322507882609749</v>
      </c>
      <c r="Q16" s="10">
        <f t="shared" si="0"/>
        <v>13.447988991712274</v>
      </c>
    </row>
    <row r="17" spans="1:17" s="87" customFormat="1" ht="21" customHeight="1">
      <c r="A17" s="84"/>
      <c r="B17" s="4" t="s">
        <v>25</v>
      </c>
      <c r="C17" s="42">
        <f t="shared" ref="C17:L17" si="1">SUM(C6:C16)</f>
        <v>47312.95</v>
      </c>
      <c r="D17" s="42">
        <f t="shared" si="1"/>
        <v>55497.69</v>
      </c>
      <c r="E17" s="16">
        <f t="shared" si="1"/>
        <v>66913.209999999992</v>
      </c>
      <c r="F17" s="16">
        <f t="shared" si="1"/>
        <v>79701.160000000018</v>
      </c>
      <c r="G17" s="16">
        <f t="shared" si="1"/>
        <v>92618.989999999991</v>
      </c>
      <c r="H17" s="86">
        <f t="shared" si="1"/>
        <v>235516</v>
      </c>
      <c r="I17" s="86">
        <f t="shared" si="1"/>
        <v>276415</v>
      </c>
      <c r="J17" s="86">
        <f t="shared" si="1"/>
        <v>325519</v>
      </c>
      <c r="K17" s="86">
        <f t="shared" si="1"/>
        <v>371337</v>
      </c>
      <c r="L17" s="86">
        <f t="shared" si="1"/>
        <v>419900.82900000003</v>
      </c>
      <c r="M17" s="42">
        <f t="shared" si="0"/>
        <v>20.089059766640059</v>
      </c>
      <c r="N17" s="42">
        <f t="shared" si="0"/>
        <v>20.077669446303567</v>
      </c>
      <c r="O17" s="42">
        <f t="shared" si="0"/>
        <v>20.555853882569064</v>
      </c>
      <c r="P17" s="42">
        <f t="shared" si="0"/>
        <v>21.463296143395358</v>
      </c>
      <c r="Q17" s="42">
        <f>+G17/K17*100</f>
        <v>24.942031093050247</v>
      </c>
    </row>
    <row r="18" spans="1:17" ht="21" customHeight="1">
      <c r="A18" s="3"/>
      <c r="B18" s="4" t="s">
        <v>26</v>
      </c>
      <c r="C18" s="42"/>
      <c r="D18" s="42"/>
      <c r="E18" s="16"/>
      <c r="F18" s="16"/>
      <c r="G18" s="16"/>
      <c r="H18" s="86"/>
      <c r="I18" s="86"/>
      <c r="J18" s="86"/>
      <c r="K18" s="86"/>
      <c r="L18" s="86"/>
      <c r="M18" s="10"/>
      <c r="N18" s="10"/>
      <c r="O18" s="10"/>
      <c r="P18" s="10"/>
      <c r="Q18" s="10"/>
    </row>
    <row r="19" spans="1:17" ht="21" customHeight="1">
      <c r="A19" s="3">
        <v>12</v>
      </c>
      <c r="B19" s="6" t="s">
        <v>27</v>
      </c>
      <c r="C19" s="10">
        <v>40690.78</v>
      </c>
      <c r="D19" s="10">
        <v>42933.41</v>
      </c>
      <c r="E19" s="9">
        <v>47920.55</v>
      </c>
      <c r="F19" s="9">
        <v>58938.62</v>
      </c>
      <c r="G19" s="9">
        <v>71274.41</v>
      </c>
      <c r="H19" s="85">
        <f ca="1">+'Plan Exp(%GSDP)'!H19</f>
        <v>364813</v>
      </c>
      <c r="I19" s="85">
        <f ca="1">+'Plan Exp(%GSDP)'!I19</f>
        <v>426765</v>
      </c>
      <c r="J19" s="85">
        <f ca="1">+'Plan Exp(%GSDP)'!J19</f>
        <v>490411</v>
      </c>
      <c r="K19" s="85">
        <f ca="1">+'Plan Exp(%GSDP)'!K19</f>
        <v>588963</v>
      </c>
      <c r="L19" s="85">
        <f ca="1">+'Plan Exp(%GSDP)'!L19</f>
        <v>675798</v>
      </c>
      <c r="M19" s="10">
        <f t="shared" ref="M19:Q36" si="2">+C19/H19*100</f>
        <v>11.153873354293843</v>
      </c>
      <c r="N19" s="10">
        <f t="shared" si="2"/>
        <v>10.060199407167881</v>
      </c>
      <c r="O19" s="10">
        <f t="shared" si="0"/>
        <v>9.7715079800412319</v>
      </c>
      <c r="P19" s="10">
        <f t="shared" si="0"/>
        <v>10.007185510804584</v>
      </c>
      <c r="Q19" s="10">
        <f t="shared" si="0"/>
        <v>10.546703304833693</v>
      </c>
    </row>
    <row r="20" spans="1:17" ht="21" customHeight="1">
      <c r="A20" s="3">
        <v>13</v>
      </c>
      <c r="B20" s="6" t="s">
        <v>28</v>
      </c>
      <c r="C20" s="10">
        <v>18993.64</v>
      </c>
      <c r="D20" s="10">
        <v>21685.24</v>
      </c>
      <c r="E20" s="9">
        <v>24618.86</v>
      </c>
      <c r="F20" s="9">
        <v>27603.95</v>
      </c>
      <c r="G20" s="9">
        <v>34915.06</v>
      </c>
      <c r="H20" s="85">
        <f ca="1">+'Plan Exp(%GSDP)'!H20</f>
        <v>113680</v>
      </c>
      <c r="I20" s="85">
        <f ca="1">+'Plan Exp(%GSDP)'!I20</f>
        <v>142279</v>
      </c>
      <c r="J20" s="85">
        <f ca="1">+'Plan Exp(%GSDP)'!J20</f>
        <v>163800</v>
      </c>
      <c r="K20" s="85">
        <f ca="1">+'Plan Exp(%GSDP)'!K20</f>
        <v>201856</v>
      </c>
      <c r="L20" s="85">
        <f ca="1">+'Plan Exp(%GSDP)'!L20</f>
        <v>252694</v>
      </c>
      <c r="M20" s="10">
        <f t="shared" si="2"/>
        <v>16.707987332864178</v>
      </c>
      <c r="N20" s="10">
        <f t="shared" si="2"/>
        <v>15.241349742407525</v>
      </c>
      <c r="O20" s="10">
        <f t="shared" si="0"/>
        <v>15.029829059829062</v>
      </c>
      <c r="P20" s="10">
        <f t="shared" si="0"/>
        <v>13.675070347178186</v>
      </c>
      <c r="Q20" s="10">
        <f t="shared" si="0"/>
        <v>13.817130600647424</v>
      </c>
    </row>
    <row r="21" spans="1:17" ht="21" customHeight="1">
      <c r="A21" s="3">
        <v>14</v>
      </c>
      <c r="B21" s="6" t="s">
        <v>29</v>
      </c>
      <c r="C21" s="10">
        <v>7293.77</v>
      </c>
      <c r="D21" s="10">
        <v>8385.68</v>
      </c>
      <c r="E21" s="9">
        <v>10460.92</v>
      </c>
      <c r="F21" s="9">
        <v>11299.72</v>
      </c>
      <c r="G21" s="9">
        <v>13292.3</v>
      </c>
      <c r="H21" s="85">
        <f ca="1">+'Plan Exp(%GSDP)'!H21</f>
        <v>80255</v>
      </c>
      <c r="I21" s="85">
        <f ca="1">+'Plan Exp(%GSDP)'!I21</f>
        <v>96972</v>
      </c>
      <c r="J21" s="85">
        <f ca="1">+'Plan Exp(%GSDP)'!J21</f>
        <v>99262</v>
      </c>
      <c r="K21" s="85">
        <f ca="1">+'Plan Exp(%GSDP)'!K21</f>
        <v>117567</v>
      </c>
      <c r="L21" s="85">
        <f ca="1">+'Plan Exp(%GSDP)'!L21</f>
        <v>135536</v>
      </c>
      <c r="M21" s="10">
        <f t="shared" si="2"/>
        <v>9.0882437231325142</v>
      </c>
      <c r="N21" s="10">
        <f t="shared" si="2"/>
        <v>8.6475271212308709</v>
      </c>
      <c r="O21" s="10">
        <f t="shared" si="0"/>
        <v>10.538695573331184</v>
      </c>
      <c r="P21" s="10">
        <f t="shared" si="0"/>
        <v>9.6113024913453593</v>
      </c>
      <c r="Q21" s="10">
        <f t="shared" si="0"/>
        <v>9.8072098925746651</v>
      </c>
    </row>
    <row r="22" spans="1:17" s="20" customFormat="1" ht="21" customHeight="1">
      <c r="A22" s="3">
        <v>15</v>
      </c>
      <c r="B22" s="6" t="s">
        <v>30</v>
      </c>
      <c r="C22" s="10">
        <v>1575.66</v>
      </c>
      <c r="D22" s="10">
        <v>1997.3</v>
      </c>
      <c r="E22" s="9">
        <v>2659.74</v>
      </c>
      <c r="F22" s="9">
        <v>3316.7</v>
      </c>
      <c r="G22" s="9">
        <v>3514.7</v>
      </c>
      <c r="H22" s="85">
        <f ca="1">+'Plan Exp(%GSDP)'!H22</f>
        <v>19565</v>
      </c>
      <c r="I22" s="85">
        <f ca="1">+'Plan Exp(%GSDP)'!I22</f>
        <v>25414</v>
      </c>
      <c r="J22" s="85">
        <f ca="1">+'Plan Exp(%GSDP)'!J22</f>
        <v>29126</v>
      </c>
      <c r="K22" s="85">
        <f ca="1">+'Plan Exp(%GSDP)'!K22</f>
        <v>32563</v>
      </c>
      <c r="L22" s="85">
        <f ca="1">+'Plan Exp(%GSDP)'!L22</f>
        <v>44460</v>
      </c>
      <c r="M22" s="10">
        <f t="shared" si="2"/>
        <v>8.0534628162535142</v>
      </c>
      <c r="N22" s="10">
        <f t="shared" si="2"/>
        <v>7.8590540646887543</v>
      </c>
      <c r="O22" s="10">
        <f t="shared" si="0"/>
        <v>9.1318409668337548</v>
      </c>
      <c r="P22" s="10">
        <f t="shared" si="0"/>
        <v>10.185486595215428</v>
      </c>
      <c r="Q22" s="10">
        <f t="shared" si="0"/>
        <v>7.9053081421502469</v>
      </c>
    </row>
    <row r="23" spans="1:17" ht="21" customHeight="1">
      <c r="A23" s="3">
        <v>16</v>
      </c>
      <c r="B23" s="6" t="s">
        <v>31</v>
      </c>
      <c r="C23" s="10">
        <v>25083.11</v>
      </c>
      <c r="D23" s="10">
        <v>27276.36</v>
      </c>
      <c r="E23" s="9">
        <v>34089</v>
      </c>
      <c r="F23" s="9">
        <v>39359.43</v>
      </c>
      <c r="G23" s="9">
        <v>42505.91</v>
      </c>
      <c r="H23" s="85">
        <f ca="1">+'Plan Exp(%GSDP)'!H23</f>
        <v>329285</v>
      </c>
      <c r="I23" s="85">
        <f ca="1">+'Plan Exp(%GSDP)'!I23</f>
        <v>367912</v>
      </c>
      <c r="J23" s="85">
        <f ca="1">+'Plan Exp(%GSDP)'!J23</f>
        <v>427555</v>
      </c>
      <c r="K23" s="85">
        <f ca="1">+'Plan Exp(%GSDP)'!K23</f>
        <v>513173</v>
      </c>
      <c r="L23" s="85">
        <f ca="1">+'Plan Exp(%GSDP)'!L23</f>
        <v>586300.15250000008</v>
      </c>
      <c r="M23" s="10">
        <f t="shared" si="2"/>
        <v>7.6174468925095287</v>
      </c>
      <c r="N23" s="10">
        <f t="shared" si="2"/>
        <v>7.4138272195525019</v>
      </c>
      <c r="O23" s="10">
        <f t="shared" si="2"/>
        <v>7.9730093204383063</v>
      </c>
      <c r="P23" s="10">
        <f t="shared" si="2"/>
        <v>7.6698170012841667</v>
      </c>
      <c r="Q23" s="10">
        <f t="shared" si="2"/>
        <v>7.2498548429083005</v>
      </c>
    </row>
    <row r="24" spans="1:17" ht="21" customHeight="1">
      <c r="A24" s="3">
        <v>17</v>
      </c>
      <c r="B24" s="6" t="s">
        <v>32</v>
      </c>
      <c r="C24" s="10">
        <v>14626</v>
      </c>
      <c r="D24" s="10">
        <v>17129</v>
      </c>
      <c r="E24" s="9">
        <v>20771</v>
      </c>
      <c r="F24" s="9">
        <v>22428</v>
      </c>
      <c r="G24" s="9">
        <v>24939</v>
      </c>
      <c r="H24" s="85">
        <f ca="1">+'Plan Exp(%GSDP)'!H24</f>
        <v>151593</v>
      </c>
      <c r="I24" s="85">
        <f ca="1">+'Plan Exp(%GSDP)'!I24</f>
        <v>182481</v>
      </c>
      <c r="J24" s="85">
        <f ca="1">+'Plan Exp(%GSDP)'!J24</f>
        <v>223567</v>
      </c>
      <c r="K24" s="85">
        <f ca="1">+'Plan Exp(%GSDP)'!K24</f>
        <v>263975</v>
      </c>
      <c r="L24" s="85">
        <f ca="1">+'Plan Exp(%GSDP)'!L24</f>
        <v>308943</v>
      </c>
      <c r="M24" s="10">
        <f t="shared" si="2"/>
        <v>9.6482027534252897</v>
      </c>
      <c r="N24" s="10">
        <f t="shared" si="2"/>
        <v>9.3867306733303728</v>
      </c>
      <c r="O24" s="10">
        <f t="shared" si="2"/>
        <v>9.2907271645636431</v>
      </c>
      <c r="P24" s="10">
        <f t="shared" si="2"/>
        <v>8.4962591154465397</v>
      </c>
      <c r="Q24" s="10">
        <f t="shared" si="2"/>
        <v>8.0723628630524082</v>
      </c>
    </row>
    <row r="25" spans="1:17" ht="21" customHeight="1">
      <c r="A25" s="3">
        <v>18</v>
      </c>
      <c r="B25" s="6" t="s">
        <v>33</v>
      </c>
      <c r="C25" s="10">
        <v>8059.39</v>
      </c>
      <c r="D25" s="10">
        <v>9263.3799999999992</v>
      </c>
      <c r="E25" s="9">
        <v>11418.69</v>
      </c>
      <c r="F25" s="9">
        <v>12121.09</v>
      </c>
      <c r="G25" s="9">
        <v>13723.96</v>
      </c>
      <c r="H25" s="85">
        <f ca="1">+'Plan Exp(%GSDP)'!H25</f>
        <v>83950</v>
      </c>
      <c r="I25" s="85">
        <f ca="1">+'Plan Exp(%GSDP)'!I25</f>
        <v>87794</v>
      </c>
      <c r="J25" s="85">
        <f ca="1">+'Plan Exp(%GSDP)'!J25</f>
        <v>100621</v>
      </c>
      <c r="K25" s="85">
        <f ca="1">+'Plan Exp(%GSDP)'!K25</f>
        <v>115535</v>
      </c>
      <c r="L25" s="85">
        <f ca="1">+'Plan Exp(%GSDP)'!L25</f>
        <v>130505</v>
      </c>
      <c r="M25" s="10">
        <f t="shared" si="2"/>
        <v>9.6002263251935691</v>
      </c>
      <c r="N25" s="10">
        <f t="shared" si="2"/>
        <v>10.551267740392282</v>
      </c>
      <c r="O25" s="10">
        <f t="shared" si="2"/>
        <v>11.34821756889715</v>
      </c>
      <c r="P25" s="10">
        <f t="shared" si="2"/>
        <v>10.49127104340676</v>
      </c>
      <c r="Q25" s="10">
        <f t="shared" si="2"/>
        <v>10.516041530975825</v>
      </c>
    </row>
    <row r="26" spans="1:17" ht="21" customHeight="1">
      <c r="A26" s="3">
        <v>19</v>
      </c>
      <c r="B26" s="6" t="s">
        <v>34</v>
      </c>
      <c r="C26" s="10">
        <v>30517.41</v>
      </c>
      <c r="D26" s="10">
        <v>32371.759999999998</v>
      </c>
      <c r="E26" s="9">
        <v>36318</v>
      </c>
      <c r="F26" s="9">
        <v>39621</v>
      </c>
      <c r="G26" s="9">
        <v>46212</v>
      </c>
      <c r="H26" s="85">
        <f ca="1">+'Plan Exp(%GSDP)'!H26</f>
        <v>270629</v>
      </c>
      <c r="I26" s="85">
        <f ca="1">+'Plan Exp(%GSDP)'!I26</f>
        <v>310312</v>
      </c>
      <c r="J26" s="85">
        <f ca="1">+'Plan Exp(%GSDP)'!J26</f>
        <v>337516</v>
      </c>
      <c r="K26" s="85">
        <f ca="1">+'Plan Exp(%GSDP)'!K26</f>
        <v>399347</v>
      </c>
      <c r="L26" s="85">
        <f ca="1">+'Plan Exp(%GSDP)'!L26</f>
        <v>458903</v>
      </c>
      <c r="M26" s="10">
        <f t="shared" si="2"/>
        <v>11.276474435481786</v>
      </c>
      <c r="N26" s="10">
        <f t="shared" si="2"/>
        <v>10.432003918636726</v>
      </c>
      <c r="O26" s="10">
        <f t="shared" si="2"/>
        <v>10.760378767228813</v>
      </c>
      <c r="P26" s="10">
        <f t="shared" si="2"/>
        <v>9.9214467618387019</v>
      </c>
      <c r="Q26" s="10">
        <f t="shared" si="2"/>
        <v>10.070101960545038</v>
      </c>
    </row>
    <row r="27" spans="1:17" ht="21" customHeight="1">
      <c r="A27" s="3">
        <v>20</v>
      </c>
      <c r="B27" s="6" t="s">
        <v>35</v>
      </c>
      <c r="C27" s="10">
        <v>22710.51</v>
      </c>
      <c r="D27" s="10">
        <v>25441.279999999999</v>
      </c>
      <c r="E27" s="9">
        <v>27283.03</v>
      </c>
      <c r="F27" s="9">
        <v>31509.53</v>
      </c>
      <c r="G27" s="9">
        <v>41070</v>
      </c>
      <c r="H27" s="85">
        <f ca="1">+'Plan Exp(%GSDP)'!H27</f>
        <v>175141</v>
      </c>
      <c r="I27" s="85">
        <f ca="1">+'Plan Exp(%GSDP)'!I27</f>
        <v>202783</v>
      </c>
      <c r="J27" s="85">
        <f ca="1">+'Plan Exp(%GSDP)'!J27</f>
        <v>232381</v>
      </c>
      <c r="K27" s="85">
        <f ca="1">+'Plan Exp(%GSDP)'!K27</f>
        <v>276997</v>
      </c>
      <c r="L27" s="85">
        <f ca="1">+'Plan Exp(%GSDP)'!L27</f>
        <v>326693</v>
      </c>
      <c r="M27" s="10">
        <f t="shared" si="2"/>
        <v>12.966986599368507</v>
      </c>
      <c r="N27" s="10">
        <f t="shared" si="2"/>
        <v>12.546061553483279</v>
      </c>
      <c r="O27" s="10">
        <f t="shared" si="2"/>
        <v>11.740645749867673</v>
      </c>
      <c r="P27" s="10">
        <f t="shared" si="2"/>
        <v>11.375404787777486</v>
      </c>
      <c r="Q27" s="10">
        <f t="shared" si="2"/>
        <v>12.571435567949113</v>
      </c>
    </row>
    <row r="28" spans="1:17" ht="21" customHeight="1">
      <c r="A28" s="3">
        <v>21</v>
      </c>
      <c r="B28" s="6" t="s">
        <v>36</v>
      </c>
      <c r="C28" s="10">
        <v>19827.599999999999</v>
      </c>
      <c r="D28" s="10">
        <v>23287</v>
      </c>
      <c r="E28" s="9">
        <v>29260.25</v>
      </c>
      <c r="F28" s="9">
        <v>35007.19</v>
      </c>
      <c r="G28" s="9">
        <v>40266.85</v>
      </c>
      <c r="H28" s="85">
        <f ca="1">+'Plan Exp(%GSDP)'!H28</f>
        <v>161479</v>
      </c>
      <c r="I28" s="85">
        <f ca="1">+'Plan Exp(%GSDP)'!I28</f>
        <v>197276</v>
      </c>
      <c r="J28" s="85">
        <f ca="1">+'Plan Exp(%GSDP)'!J28</f>
        <v>227984</v>
      </c>
      <c r="K28" s="85">
        <f ca="1">+'Plan Exp(%GSDP)'!K28</f>
        <v>260403</v>
      </c>
      <c r="L28" s="85">
        <f ca="1">+'Plan Exp(%GSDP)'!L28</f>
        <v>315387</v>
      </c>
      <c r="M28" s="10">
        <f t="shared" si="2"/>
        <v>12.278748320215012</v>
      </c>
      <c r="N28" s="10">
        <f t="shared" si="2"/>
        <v>11.804274214805654</v>
      </c>
      <c r="O28" s="10">
        <f t="shared" si="2"/>
        <v>12.834343638150045</v>
      </c>
      <c r="P28" s="10">
        <f t="shared" si="2"/>
        <v>13.443466473120511</v>
      </c>
      <c r="Q28" s="10">
        <f t="shared" si="2"/>
        <v>12.767441270566001</v>
      </c>
    </row>
    <row r="29" spans="1:17" ht="21" customHeight="1">
      <c r="A29" s="3">
        <v>22</v>
      </c>
      <c r="B29" s="6" t="s">
        <v>37</v>
      </c>
      <c r="C29" s="10">
        <v>57497.03</v>
      </c>
      <c r="D29" s="10">
        <v>70155.199999999997</v>
      </c>
      <c r="E29" s="9">
        <v>81727.02</v>
      </c>
      <c r="F29" s="9">
        <v>92377.05</v>
      </c>
      <c r="G29" s="9">
        <v>98987.15</v>
      </c>
      <c r="H29" s="85">
        <f ca="1">+'Plan Exp(%GSDP)'!H29</f>
        <v>679004</v>
      </c>
      <c r="I29" s="85">
        <f ca="1">+'Plan Exp(%GSDP)'!I29</f>
        <v>756334</v>
      </c>
      <c r="J29" s="85">
        <f ca="1">+'Plan Exp(%GSDP)'!J29</f>
        <v>901330</v>
      </c>
      <c r="K29" s="85">
        <f ca="1">+'Plan Exp(%GSDP)'!K29</f>
        <v>1029621</v>
      </c>
      <c r="L29" s="85">
        <f ca="1">+'Plan Exp(%GSDP)'!L29</f>
        <v>1180302</v>
      </c>
      <c r="M29" s="10">
        <f t="shared" si="2"/>
        <v>8.4678484957378739</v>
      </c>
      <c r="N29" s="10">
        <f t="shared" si="2"/>
        <v>9.2756903695986157</v>
      </c>
      <c r="O29" s="10">
        <f t="shared" si="2"/>
        <v>9.067380426702762</v>
      </c>
      <c r="P29" s="10">
        <f t="shared" si="2"/>
        <v>8.9719469591237946</v>
      </c>
      <c r="Q29" s="10">
        <f t="shared" si="2"/>
        <v>8.3865951256542814</v>
      </c>
    </row>
    <row r="30" spans="1:17" ht="21" customHeight="1">
      <c r="A30" s="3">
        <v>23</v>
      </c>
      <c r="B30" s="6" t="s">
        <v>104</v>
      </c>
      <c r="C30" s="10">
        <v>13953.48</v>
      </c>
      <c r="D30" s="10">
        <v>16246.1</v>
      </c>
      <c r="E30" s="9">
        <v>20150.41</v>
      </c>
      <c r="F30" s="9">
        <v>22357.51</v>
      </c>
      <c r="G30" s="9">
        <v>27355.65</v>
      </c>
      <c r="H30" s="85">
        <f ca="1">+'Plan Exp(%GSDP)'!H30</f>
        <v>129274</v>
      </c>
      <c r="I30" s="85">
        <f ca="1">+'Plan Exp(%GSDP)'!I30</f>
        <v>148491</v>
      </c>
      <c r="J30" s="85">
        <f ca="1">+'Plan Exp(%GSDP)'!J30</f>
        <v>163727</v>
      </c>
      <c r="K30" s="85">
        <f ca="1">+'Plan Exp(%GSDP)'!K30</f>
        <v>195028</v>
      </c>
      <c r="L30" s="85">
        <f ca="1">+'Plan Exp(%GSDP)'!L30</f>
        <v>226236</v>
      </c>
      <c r="M30" s="10">
        <f t="shared" si="2"/>
        <v>10.793724956294382</v>
      </c>
      <c r="N30" s="10">
        <f t="shared" si="2"/>
        <v>10.940797758786729</v>
      </c>
      <c r="O30" s="10">
        <f t="shared" si="2"/>
        <v>12.307322555229131</v>
      </c>
      <c r="P30" s="10">
        <f t="shared" si="2"/>
        <v>11.463743667575937</v>
      </c>
      <c r="Q30" s="10">
        <f t="shared" si="2"/>
        <v>12.091643239802686</v>
      </c>
    </row>
    <row r="31" spans="1:17" s="20" customFormat="1" ht="21" customHeight="1">
      <c r="A31" s="3">
        <v>24</v>
      </c>
      <c r="B31" s="6" t="s">
        <v>39</v>
      </c>
      <c r="C31" s="10">
        <v>22204.33</v>
      </c>
      <c r="D31" s="10">
        <v>23456.86</v>
      </c>
      <c r="E31" s="9">
        <v>26198.84</v>
      </c>
      <c r="F31" s="9">
        <v>30862.94</v>
      </c>
      <c r="G31" s="9">
        <v>32266.02</v>
      </c>
      <c r="H31" s="85">
        <f ca="1">+'Plan Exp(%GSDP)'!H31</f>
        <v>152245</v>
      </c>
      <c r="I31" s="85">
        <f ca="1">+'Plan Exp(%GSDP)'!I31</f>
        <v>174039</v>
      </c>
      <c r="J31" s="85">
        <f ca="1">+'Plan Exp(%GSDP)'!J31</f>
        <v>198393</v>
      </c>
      <c r="K31" s="85">
        <f ca="1">+'Plan Exp(%GSDP)'!K31</f>
        <v>224975</v>
      </c>
      <c r="L31" s="85">
        <f ca="1">+'Plan Exp(%GSDP)'!L31</f>
        <v>248301</v>
      </c>
      <c r="M31" s="10">
        <f t="shared" si="2"/>
        <v>14.584603763670401</v>
      </c>
      <c r="N31" s="10">
        <f t="shared" si="2"/>
        <v>13.477933106947294</v>
      </c>
      <c r="O31" s="10">
        <f t="shared" si="2"/>
        <v>13.205526404661455</v>
      </c>
      <c r="P31" s="10">
        <f t="shared" si="2"/>
        <v>13.718386487387487</v>
      </c>
      <c r="Q31" s="10">
        <f t="shared" si="2"/>
        <v>12.994720117921393</v>
      </c>
    </row>
    <row r="32" spans="1:17" ht="21" customHeight="1">
      <c r="A32" s="3">
        <v>25</v>
      </c>
      <c r="B32" s="6" t="s">
        <v>40</v>
      </c>
      <c r="C32" s="10">
        <v>25027.27</v>
      </c>
      <c r="D32" s="10">
        <v>28345.32</v>
      </c>
      <c r="E32" s="9">
        <v>33236.01</v>
      </c>
      <c r="F32" s="9">
        <v>36213.620000000003</v>
      </c>
      <c r="G32" s="9">
        <v>41238.25</v>
      </c>
      <c r="H32" s="85">
        <f ca="1">+'Plan Exp(%GSDP)'!H32</f>
        <v>194822</v>
      </c>
      <c r="I32" s="85">
        <f ca="1">+'Plan Exp(%GSDP)'!I32</f>
        <v>230949</v>
      </c>
      <c r="J32" s="85">
        <f ca="1">+'Plan Exp(%GSDP)'!J32</f>
        <v>263258</v>
      </c>
      <c r="K32" s="85">
        <f ca="1">+'Plan Exp(%GSDP)'!K32</f>
        <v>323682</v>
      </c>
      <c r="L32" s="85">
        <f ca="1">+'Plan Exp(%GSDP)'!L32</f>
        <v>368320</v>
      </c>
      <c r="M32" s="10">
        <f t="shared" si="2"/>
        <v>12.846223732432682</v>
      </c>
      <c r="N32" s="10">
        <f t="shared" si="2"/>
        <v>12.273411012821011</v>
      </c>
      <c r="O32" s="10">
        <f t="shared" si="2"/>
        <v>12.624881295155324</v>
      </c>
      <c r="P32" s="10">
        <f t="shared" si="2"/>
        <v>11.188024048294315</v>
      </c>
      <c r="Q32" s="10">
        <f t="shared" si="2"/>
        <v>11.196310273675065</v>
      </c>
    </row>
    <row r="33" spans="1:17" ht="21" customHeight="1">
      <c r="A33" s="3">
        <v>26</v>
      </c>
      <c r="B33" s="6" t="s">
        <v>41</v>
      </c>
      <c r="C33" s="10">
        <v>36363.69</v>
      </c>
      <c r="D33" s="10">
        <v>45005.3</v>
      </c>
      <c r="E33" s="9">
        <v>48407.21</v>
      </c>
      <c r="F33" s="9">
        <v>60826.62</v>
      </c>
      <c r="G33" s="9">
        <v>72287.98</v>
      </c>
      <c r="H33" s="85">
        <f ca="1">+'Plan Exp(%GSDP)'!H33</f>
        <v>350819</v>
      </c>
      <c r="I33" s="85">
        <f ca="1">+'Plan Exp(%GSDP)'!I33</f>
        <v>401336</v>
      </c>
      <c r="J33" s="85">
        <f ca="1">+'Plan Exp(%GSDP)'!J33</f>
        <v>479720</v>
      </c>
      <c r="K33" s="85">
        <f ca="1">+'Plan Exp(%GSDP)'!K33</f>
        <v>566422</v>
      </c>
      <c r="L33" s="85">
        <f ca="1">+'Plan Exp(%GSDP)'!L33</f>
        <v>639025</v>
      </c>
      <c r="M33" s="10">
        <f t="shared" si="2"/>
        <v>10.365370746738348</v>
      </c>
      <c r="N33" s="10">
        <f t="shared" si="2"/>
        <v>11.213870671955668</v>
      </c>
      <c r="O33" s="10">
        <f t="shared" si="2"/>
        <v>10.090721670974736</v>
      </c>
      <c r="P33" s="10">
        <f t="shared" si="2"/>
        <v>10.738746023282994</v>
      </c>
      <c r="Q33" s="10">
        <f t="shared" si="2"/>
        <v>11.312230350925237</v>
      </c>
    </row>
    <row r="34" spans="1:17" ht="21" customHeight="1">
      <c r="A34" s="3">
        <v>27</v>
      </c>
      <c r="B34" s="6" t="s">
        <v>42</v>
      </c>
      <c r="C34" s="10">
        <v>57084</v>
      </c>
      <c r="D34" s="10">
        <v>63352</v>
      </c>
      <c r="E34" s="9">
        <v>80101.8</v>
      </c>
      <c r="F34" s="9">
        <v>87678.74</v>
      </c>
      <c r="G34" s="9">
        <v>104880.98</v>
      </c>
      <c r="H34" s="85">
        <f ca="1">+'Plan Exp(%GSDP)'!H34</f>
        <v>383026</v>
      </c>
      <c r="I34" s="85">
        <f ca="1">+'Plan Exp(%GSDP)'!I34</f>
        <v>444685</v>
      </c>
      <c r="J34" s="85">
        <f ca="1">+'Plan Exp(%GSDP)'!J34</f>
        <v>523193</v>
      </c>
      <c r="K34" s="85">
        <f ca="1">+'Plan Exp(%GSDP)'!K34</f>
        <v>605219</v>
      </c>
      <c r="L34" s="85">
        <f ca="1">+'Plan Exp(%GSDP)'!L34</f>
        <v>687836</v>
      </c>
      <c r="M34" s="10">
        <f t="shared" si="2"/>
        <v>14.903426921410034</v>
      </c>
      <c r="N34" s="10">
        <f t="shared" si="2"/>
        <v>14.246489087781239</v>
      </c>
      <c r="O34" s="10">
        <f t="shared" si="2"/>
        <v>15.310181902280803</v>
      </c>
      <c r="P34" s="10">
        <f t="shared" si="2"/>
        <v>14.487109624780453</v>
      </c>
      <c r="Q34" s="10">
        <f t="shared" si="2"/>
        <v>15.247963177269</v>
      </c>
    </row>
    <row r="35" spans="1:17" ht="21" customHeight="1">
      <c r="A35" s="3">
        <v>28</v>
      </c>
      <c r="B35" s="6" t="s">
        <v>43</v>
      </c>
      <c r="C35" s="10">
        <v>31629.09</v>
      </c>
      <c r="D35" s="10">
        <v>43608.75</v>
      </c>
      <c r="E35" s="9">
        <v>48102.07</v>
      </c>
      <c r="F35" s="9">
        <v>52555.85</v>
      </c>
      <c r="G35" s="9">
        <v>56491.42</v>
      </c>
      <c r="H35" s="85">
        <f ca="1">+'Plan Exp(%GSDP)'!H35</f>
        <v>299483</v>
      </c>
      <c r="I35" s="85">
        <f ca="1">+'Plan Exp(%GSDP)'!I35</f>
        <v>341942</v>
      </c>
      <c r="J35" s="85">
        <f ca="1">+'Plan Exp(%GSDP)'!J35</f>
        <v>398933</v>
      </c>
      <c r="K35" s="85">
        <f ca="1">+'Plan Exp(%GSDP)'!K35</f>
        <v>467421</v>
      </c>
      <c r="L35" s="85">
        <f ca="1">+'Plan Exp(%GSDP)'!L35</f>
        <v>541586</v>
      </c>
      <c r="M35" s="10">
        <f t="shared" si="2"/>
        <v>10.561230520597162</v>
      </c>
      <c r="N35" s="10">
        <f t="shared" si="2"/>
        <v>12.753259324680794</v>
      </c>
      <c r="O35" s="10">
        <f t="shared" si="2"/>
        <v>12.057681365041248</v>
      </c>
      <c r="P35" s="10">
        <f t="shared" si="2"/>
        <v>11.243793068775258</v>
      </c>
      <c r="Q35" s="10">
        <f t="shared" si="2"/>
        <v>10.430738608457382</v>
      </c>
    </row>
    <row r="36" spans="1:17" s="87" customFormat="1" ht="21" customHeight="1">
      <c r="A36" s="84"/>
      <c r="B36" s="4" t="s">
        <v>44</v>
      </c>
      <c r="C36" s="42">
        <f t="shared" ref="C36:L36" si="3">SUM(C19:C35)</f>
        <v>433136.76000000007</v>
      </c>
      <c r="D36" s="42">
        <f t="shared" si="3"/>
        <v>499939.94</v>
      </c>
      <c r="E36" s="16">
        <f t="shared" si="3"/>
        <v>582723.4</v>
      </c>
      <c r="F36" s="16">
        <f t="shared" si="3"/>
        <v>664077.55999999994</v>
      </c>
      <c r="G36" s="16">
        <f t="shared" si="3"/>
        <v>765221.64</v>
      </c>
      <c r="H36" s="86">
        <f t="shared" si="3"/>
        <v>3939063</v>
      </c>
      <c r="I36" s="86">
        <f t="shared" si="3"/>
        <v>4537764</v>
      </c>
      <c r="J36" s="86">
        <f t="shared" si="3"/>
        <v>5260777</v>
      </c>
      <c r="K36" s="86">
        <f t="shared" si="3"/>
        <v>6182747</v>
      </c>
      <c r="L36" s="86">
        <f t="shared" si="3"/>
        <v>7126825.1524999999</v>
      </c>
      <c r="M36" s="42">
        <f t="shared" si="2"/>
        <v>10.995933804562153</v>
      </c>
      <c r="N36" s="42">
        <f t="shared" si="2"/>
        <v>11.017319102535962</v>
      </c>
      <c r="O36" s="42">
        <f t="shared" si="2"/>
        <v>11.076755391836606</v>
      </c>
      <c r="P36" s="42">
        <f t="shared" si="2"/>
        <v>10.740817309846253</v>
      </c>
      <c r="Q36" s="42">
        <f>+G36/K36*100</f>
        <v>12.376725749897254</v>
      </c>
    </row>
    <row r="37" spans="1:17" s="87" customFormat="1" ht="21" customHeight="1">
      <c r="A37" s="84"/>
      <c r="B37" s="4" t="s">
        <v>45</v>
      </c>
      <c r="C37" s="42"/>
      <c r="D37" s="42"/>
      <c r="E37" s="16"/>
      <c r="F37" s="16"/>
      <c r="G37" s="16"/>
      <c r="H37" s="86"/>
      <c r="I37" s="86"/>
      <c r="J37" s="86"/>
      <c r="K37" s="86"/>
      <c r="L37" s="86"/>
      <c r="M37" s="10"/>
      <c r="N37" s="10"/>
      <c r="O37" s="10"/>
      <c r="P37" s="10"/>
      <c r="Q37" s="10"/>
    </row>
    <row r="38" spans="1:17" ht="21" customHeight="1">
      <c r="A38" s="3">
        <v>29</v>
      </c>
      <c r="B38" s="6" t="s">
        <v>46</v>
      </c>
      <c r="C38" s="10">
        <v>9374.59</v>
      </c>
      <c r="D38" s="10">
        <v>10725.97</v>
      </c>
      <c r="E38" s="9">
        <v>13797.68</v>
      </c>
      <c r="F38" s="9">
        <v>14980.06</v>
      </c>
      <c r="G38" s="9">
        <v>13570</v>
      </c>
      <c r="H38" s="85">
        <f ca="1">+'Plan Exp(%GSDP)'!H38</f>
        <v>157947</v>
      </c>
      <c r="I38" s="85">
        <f ca="1">+'Plan Exp(%GSDP)'!I38</f>
        <v>189533</v>
      </c>
      <c r="J38" s="85">
        <f ca="1">+'Plan Exp(%GSDP)'!J38</f>
        <v>223759</v>
      </c>
      <c r="K38" s="85">
        <f ca="1">+'Plan Exp(%GSDP)'!K38</f>
        <v>264496</v>
      </c>
      <c r="L38" s="85">
        <f ca="1">+'Plan Exp(%GSDP)'!L38</f>
        <v>313934</v>
      </c>
      <c r="M38" s="10">
        <f t="shared" ref="M38:Q42" si="4">+C38/H38*100</f>
        <v>5.935275757057747</v>
      </c>
      <c r="N38" s="10">
        <f t="shared" si="4"/>
        <v>5.6591569805785795</v>
      </c>
      <c r="O38" s="10">
        <f t="shared" si="4"/>
        <v>6.1663128633932045</v>
      </c>
      <c r="P38" s="10">
        <f t="shared" si="4"/>
        <v>5.6636244026374687</v>
      </c>
      <c r="Q38" s="10">
        <f t="shared" si="4"/>
        <v>4.3225646154924284</v>
      </c>
    </row>
    <row r="39" spans="1:17" ht="21" customHeight="1">
      <c r="A39" s="3">
        <v>30</v>
      </c>
      <c r="B39" s="6" t="s">
        <v>47</v>
      </c>
      <c r="C39" s="10">
        <v>1483</v>
      </c>
      <c r="D39" s="10">
        <v>1880</v>
      </c>
      <c r="E39" s="9">
        <v>2120</v>
      </c>
      <c r="F39" s="9">
        <v>2484</v>
      </c>
      <c r="G39" s="9">
        <v>2019</v>
      </c>
      <c r="H39" s="85">
        <f ca="1">+'Plan Exp(%GSDP)'!H39</f>
        <v>9251</v>
      </c>
      <c r="I39" s="85">
        <f ca="1">+'Plan Exp(%GSDP)'!I39</f>
        <v>10050</v>
      </c>
      <c r="J39" s="85">
        <f ca="1">+'Plan Exp(%GSDP)'!J39</f>
        <v>11344</v>
      </c>
      <c r="K39" s="85">
        <f ca="1">+'Plan Exp(%GSDP)'!K39</f>
        <v>12929</v>
      </c>
      <c r="L39" s="85">
        <f ca="1">+'Plan Exp(%GSDP)'!L39</f>
        <v>13724</v>
      </c>
      <c r="M39" s="10">
        <f t="shared" si="4"/>
        <v>16.030699383850394</v>
      </c>
      <c r="N39" s="10">
        <f t="shared" si="4"/>
        <v>18.706467661691541</v>
      </c>
      <c r="O39" s="10">
        <f t="shared" si="4"/>
        <v>18.68829337094499</v>
      </c>
      <c r="P39" s="10">
        <f t="shared" si="4"/>
        <v>19.212622785984994</v>
      </c>
      <c r="Q39" s="10">
        <f t="shared" si="4"/>
        <v>14.711454386476246</v>
      </c>
    </row>
    <row r="40" spans="1:17" ht="21" customHeight="1">
      <c r="A40" s="3"/>
      <c r="B40" s="4" t="s">
        <v>105</v>
      </c>
      <c r="C40" s="42">
        <f t="shared" ref="C40:L40" si="5">SUM(C38:C39)</f>
        <v>10857.59</v>
      </c>
      <c r="D40" s="42">
        <f t="shared" si="5"/>
        <v>12605.97</v>
      </c>
      <c r="E40" s="16">
        <f>SUM(E38:E39)</f>
        <v>15917.68</v>
      </c>
      <c r="F40" s="16">
        <f>SUM(F38:F39)</f>
        <v>17464.059999999998</v>
      </c>
      <c r="G40" s="16">
        <f>SUM(G38:G39)</f>
        <v>15589</v>
      </c>
      <c r="H40" s="86">
        <f t="shared" si="5"/>
        <v>167198</v>
      </c>
      <c r="I40" s="86">
        <f t="shared" si="5"/>
        <v>199583</v>
      </c>
      <c r="J40" s="86">
        <f t="shared" si="5"/>
        <v>235103</v>
      </c>
      <c r="K40" s="86">
        <f t="shared" si="5"/>
        <v>277425</v>
      </c>
      <c r="L40" s="86">
        <f t="shared" si="5"/>
        <v>327658</v>
      </c>
      <c r="M40" s="42">
        <f t="shared" si="4"/>
        <v>6.4938516010957068</v>
      </c>
      <c r="N40" s="42">
        <f t="shared" si="4"/>
        <v>6.3161541814683613</v>
      </c>
      <c r="O40" s="42">
        <f t="shared" si="4"/>
        <v>6.7705133494681062</v>
      </c>
      <c r="P40" s="42">
        <f t="shared" si="4"/>
        <v>6.2950563215283406</v>
      </c>
      <c r="Q40" s="42">
        <f>+G40/K40*100</f>
        <v>5.6191763539695412</v>
      </c>
    </row>
    <row r="41" spans="1:17" ht="9" customHeight="1">
      <c r="A41" s="3"/>
      <c r="B41" s="4"/>
      <c r="C41" s="42"/>
      <c r="D41" s="42"/>
      <c r="E41" s="16"/>
      <c r="F41" s="16"/>
      <c r="G41" s="16"/>
      <c r="H41" s="86"/>
      <c r="I41" s="86"/>
      <c r="J41" s="86"/>
      <c r="K41" s="86"/>
      <c r="L41" s="86"/>
      <c r="M41" s="10"/>
      <c r="N41" s="10"/>
      <c r="O41" s="10"/>
      <c r="P41" s="10"/>
      <c r="Q41" s="10"/>
    </row>
    <row r="42" spans="1:17" s="87" customFormat="1">
      <c r="A42" s="84"/>
      <c r="B42" s="4" t="s">
        <v>49</v>
      </c>
      <c r="C42" s="42">
        <f t="shared" ref="C42:L42" si="6">+C17+C36+C40</f>
        <v>491307.3000000001</v>
      </c>
      <c r="D42" s="42">
        <f t="shared" si="6"/>
        <v>568043.6</v>
      </c>
      <c r="E42" s="16">
        <f>+E17+E36+E40</f>
        <v>665554.29</v>
      </c>
      <c r="F42" s="16">
        <f>+F17+F36+F40</f>
        <v>761242.78</v>
      </c>
      <c r="G42" s="16">
        <f>+G17+G36+G40</f>
        <v>873429.63</v>
      </c>
      <c r="H42" s="86">
        <f t="shared" si="6"/>
        <v>4341777</v>
      </c>
      <c r="I42" s="86">
        <f t="shared" si="6"/>
        <v>5013762</v>
      </c>
      <c r="J42" s="86">
        <f t="shared" si="6"/>
        <v>5821399</v>
      </c>
      <c r="K42" s="86">
        <f t="shared" si="6"/>
        <v>6831509</v>
      </c>
      <c r="L42" s="86">
        <f t="shared" si="6"/>
        <v>7874383.9814999998</v>
      </c>
      <c r="M42" s="42">
        <f>+C42/H42*100</f>
        <v>11.315811475347539</v>
      </c>
      <c r="N42" s="42">
        <f>+D42/I42*100</f>
        <v>11.329688166291101</v>
      </c>
      <c r="O42" s="42">
        <f t="shared" si="4"/>
        <v>11.432892505736165</v>
      </c>
      <c r="P42" s="42">
        <f t="shared" si="4"/>
        <v>11.143113183339143</v>
      </c>
      <c r="Q42" s="42">
        <f>+G42/K42*100</f>
        <v>12.785310390427648</v>
      </c>
    </row>
    <row r="43" spans="1:17">
      <c r="B43" s="23" t="s">
        <v>50</v>
      </c>
      <c r="C43" s="287"/>
      <c r="D43" s="287"/>
      <c r="E43" s="288"/>
      <c r="F43" s="288"/>
      <c r="G43" s="24" t="s">
        <v>308</v>
      </c>
    </row>
  </sheetData>
  <mergeCells count="6">
    <mergeCell ref="A1:N1"/>
    <mergeCell ref="C2:G2"/>
    <mergeCell ref="M2:Q2"/>
    <mergeCell ref="B2:B3"/>
    <mergeCell ref="A2:A3"/>
    <mergeCell ref="H2:L2"/>
  </mergeCells>
  <phoneticPr fontId="63" type="noConversion"/>
  <printOptions horizontalCentered="1"/>
  <pageMargins left="0.35433070866141736" right="0.15748031496062992" top="0.59055118110236227" bottom="0.27559055118110237" header="0" footer="0"/>
  <pageSetup paperSize="9" scale="60"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G44" sqref="G44"/>
    </sheetView>
  </sheetViews>
  <sheetFormatPr defaultRowHeight="12.75"/>
  <cols>
    <col min="1" max="1" width="4.85546875" style="26" customWidth="1"/>
    <col min="2" max="2" width="34.7109375" customWidth="1"/>
    <col min="3" max="4" width="11" customWidth="1"/>
    <col min="5" max="12" width="11" style="14" customWidth="1"/>
    <col min="13" max="13" width="12" customWidth="1"/>
    <col min="14" max="14" width="13.42578125" customWidth="1"/>
    <col min="15" max="15" width="11" style="99" bestFit="1" customWidth="1"/>
    <col min="16" max="16" width="11" style="99" customWidth="1"/>
    <col min="17" max="17" width="9.140625" style="99"/>
  </cols>
  <sheetData>
    <row r="1" spans="1:17" ht="27" customHeight="1">
      <c r="A1" s="589" t="s">
        <v>293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</row>
    <row r="2" spans="1:17" ht="35.25" customHeight="1">
      <c r="A2" s="592" t="s">
        <v>0</v>
      </c>
      <c r="B2" s="592" t="s">
        <v>1</v>
      </c>
      <c r="C2" s="623" t="s">
        <v>320</v>
      </c>
      <c r="D2" s="623"/>
      <c r="E2" s="623"/>
      <c r="F2" s="623"/>
      <c r="G2" s="623"/>
      <c r="H2" s="623" t="s">
        <v>115</v>
      </c>
      <c r="I2" s="623"/>
      <c r="J2" s="623"/>
      <c r="K2" s="623"/>
      <c r="L2" s="623"/>
      <c r="M2" s="623" t="s">
        <v>205</v>
      </c>
      <c r="N2" s="623"/>
      <c r="O2" s="623"/>
      <c r="P2" s="623"/>
      <c r="Q2" s="623"/>
    </row>
    <row r="3" spans="1:17" ht="27" customHeight="1">
      <c r="A3" s="592"/>
      <c r="B3" s="592"/>
      <c r="C3" s="2" t="s">
        <v>5</v>
      </c>
      <c r="D3" s="2" t="s">
        <v>6</v>
      </c>
      <c r="E3" s="1" t="s">
        <v>7</v>
      </c>
      <c r="F3" s="1" t="s">
        <v>8</v>
      </c>
      <c r="G3" s="1" t="s">
        <v>9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2" t="s">
        <v>5</v>
      </c>
      <c r="N3" s="2" t="s">
        <v>6</v>
      </c>
      <c r="O3" s="100" t="s">
        <v>7</v>
      </c>
      <c r="P3" s="100" t="s">
        <v>8</v>
      </c>
      <c r="Q3" s="100" t="s">
        <v>9</v>
      </c>
    </row>
    <row r="4" spans="1:17" ht="12.75" customHeight="1">
      <c r="A4" s="592"/>
      <c r="B4" s="127">
        <v>41129</v>
      </c>
      <c r="C4" s="2" t="s">
        <v>10</v>
      </c>
      <c r="D4" s="2" t="s">
        <v>10</v>
      </c>
      <c r="E4" s="1" t="s">
        <v>10</v>
      </c>
      <c r="F4" s="1" t="s">
        <v>58</v>
      </c>
      <c r="G4" s="1" t="s">
        <v>12</v>
      </c>
      <c r="H4" s="658" t="s">
        <v>116</v>
      </c>
      <c r="I4" s="658"/>
      <c r="J4" s="658"/>
      <c r="K4" s="658"/>
      <c r="L4" s="658"/>
      <c r="M4" s="2" t="s">
        <v>10</v>
      </c>
      <c r="N4" s="2" t="s">
        <v>10</v>
      </c>
      <c r="O4" s="100" t="s">
        <v>10</v>
      </c>
      <c r="P4" s="100" t="s">
        <v>58</v>
      </c>
      <c r="Q4" s="100" t="s">
        <v>12</v>
      </c>
    </row>
    <row r="5" spans="1:17" ht="19.5" customHeight="1">
      <c r="A5" s="3"/>
      <c r="B5" s="4" t="s">
        <v>13</v>
      </c>
      <c r="C5" s="4"/>
      <c r="D5" s="4"/>
      <c r="E5" s="5"/>
      <c r="F5" s="5"/>
      <c r="G5" s="5"/>
      <c r="H5" s="5"/>
      <c r="I5" s="5"/>
      <c r="J5" s="5"/>
      <c r="K5" s="5"/>
      <c r="L5" s="5"/>
      <c r="M5" s="6"/>
      <c r="N5" s="6"/>
      <c r="O5" s="101"/>
      <c r="P5" s="101"/>
      <c r="Q5" s="101"/>
    </row>
    <row r="6" spans="1:17" ht="19.5" customHeight="1">
      <c r="A6" s="3">
        <v>1</v>
      </c>
      <c r="B6" s="6" t="s">
        <v>14</v>
      </c>
      <c r="C6" s="18">
        <f ca="1">+'NON Plan Exp(%GSDP)'!C6</f>
        <v>1419.38</v>
      </c>
      <c r="D6" s="18">
        <f ca="1">+'NON Plan Exp(%GSDP)'!D6</f>
        <v>1808.98</v>
      </c>
      <c r="E6" s="18">
        <f ca="1">+'NON Plan Exp(%GSDP)'!E6</f>
        <v>2333.9699999999998</v>
      </c>
      <c r="F6" s="18">
        <f ca="1">+'NON Plan Exp(%GSDP)'!F6</f>
        <v>2561.5700000000002</v>
      </c>
      <c r="G6" s="18">
        <f ca="1">+'NON Plan Exp(%GSDP)'!G6</f>
        <v>2880.21</v>
      </c>
      <c r="H6" s="18">
        <f ca="1">+C6/'Per Capita Plan Expenditure'!H6</f>
        <v>11847.913188647746</v>
      </c>
      <c r="I6" s="18">
        <f ca="1">+D6/'Per Capita Plan Expenditure'!I6</f>
        <v>14925.577557755776</v>
      </c>
      <c r="J6" s="18">
        <f ca="1">+E6/'Per Capita Plan Expenditure'!J6</f>
        <v>19021.76039119804</v>
      </c>
      <c r="K6" s="18">
        <f ca="1">+F6/'Per Capita Plan Expenditure'!K6</f>
        <v>20641.176470588238</v>
      </c>
      <c r="L6" s="18">
        <f ca="1">+G6/'Per Capita Plan Expenditure'!L6</f>
        <v>22949.880478087649</v>
      </c>
      <c r="M6" s="10">
        <f ca="1">+C6/'NON Plan Exp(%GSDP)'!H6*100</f>
        <v>29.508939708939714</v>
      </c>
      <c r="N6" s="10">
        <f ca="1">+D6/'NON Plan Exp(%GSDP)'!I6*100</f>
        <v>31.809038157200632</v>
      </c>
      <c r="O6" s="10">
        <f ca="1">+E6/'NON Plan Exp(%GSDP)'!J6*100</f>
        <v>32.942413549752999</v>
      </c>
      <c r="P6" s="10">
        <f ca="1">+F6/'NON Plan Exp(%GSDP)'!K6*100</f>
        <v>31.113445888497509</v>
      </c>
      <c r="Q6" s="10">
        <f ca="1">+G6/'NON Plan Exp(%GSDP)'!L6*100</f>
        <v>30.781340173132417</v>
      </c>
    </row>
    <row r="7" spans="1:17" ht="19.5" customHeight="1">
      <c r="A7" s="3">
        <v>2</v>
      </c>
      <c r="B7" s="6" t="s">
        <v>15</v>
      </c>
      <c r="C7" s="18">
        <f ca="1">+'NON Plan Exp(%GSDP)'!C7</f>
        <v>10894.07</v>
      </c>
      <c r="D7" s="18">
        <f ca="1">+'NON Plan Exp(%GSDP)'!D7</f>
        <v>11237.28</v>
      </c>
      <c r="E7" s="18">
        <f ca="1">+'NON Plan Exp(%GSDP)'!E7</f>
        <v>15180.56</v>
      </c>
      <c r="F7" s="18">
        <f ca="1">+'NON Plan Exp(%GSDP)'!F7</f>
        <v>20013.990000000002</v>
      </c>
      <c r="G7" s="18">
        <f ca="1">+'NON Plan Exp(%GSDP)'!G7</f>
        <v>24530.12</v>
      </c>
      <c r="H7" s="18">
        <f ca="1">+C7/'Per Capita Plan Expenditure'!H7</f>
        <v>3701.0599626295229</v>
      </c>
      <c r="I7" s="18">
        <f ca="1">+D7/'Per Capita Plan Expenditure'!I7</f>
        <v>3769.1285973032809</v>
      </c>
      <c r="J7" s="18">
        <f ca="1">+E7/'Per Capita Plan Expenditure'!J7</f>
        <v>5028.1739591268924</v>
      </c>
      <c r="K7" s="18">
        <f ca="1">+F7/'Per Capita Plan Expenditure'!K7</f>
        <v>6547.3665270871506</v>
      </c>
      <c r="L7" s="18">
        <f ca="1">+G7/'Per Capita Plan Expenditure'!L7</f>
        <v>7927.0059783486831</v>
      </c>
      <c r="M7" s="10">
        <f ca="1">+C7/'NON Plan Exp(%GSDP)'!H7*100</f>
        <v>15.327353818447859</v>
      </c>
      <c r="N7" s="10">
        <f ca="1">+D7/'NON Plan Exp(%GSDP)'!I7*100</f>
        <v>13.860522485630414</v>
      </c>
      <c r="O7" s="10">
        <f ca="1">+E7/'NON Plan Exp(%GSDP)'!J7*100</f>
        <v>16.369474966841715</v>
      </c>
      <c r="P7" s="10">
        <f ca="1">+F7/'NON Plan Exp(%GSDP)'!K7*100</f>
        <v>19.241445945296356</v>
      </c>
      <c r="Q7" s="10">
        <f ca="1">+G7/'NON Plan Exp(%GSDP)'!L7*100</f>
        <v>21.255129627062246</v>
      </c>
    </row>
    <row r="8" spans="1:17" ht="19.5" customHeight="1">
      <c r="A8" s="3">
        <v>3</v>
      </c>
      <c r="B8" s="6" t="s">
        <v>16</v>
      </c>
      <c r="C8" s="18">
        <f ca="1">+'NON Plan Exp(%GSDP)'!C8</f>
        <v>7192.83</v>
      </c>
      <c r="D8" s="18">
        <f ca="1">+'NON Plan Exp(%GSDP)'!D8</f>
        <v>8723.66</v>
      </c>
      <c r="E8" s="18">
        <f ca="1">+'NON Plan Exp(%GSDP)'!E8</f>
        <v>9935.18</v>
      </c>
      <c r="F8" s="18">
        <f ca="1">+'NON Plan Exp(%GSDP)'!F8</f>
        <v>11613.79</v>
      </c>
      <c r="G8" s="18">
        <f ca="1">+'NON Plan Exp(%GSDP)'!G8</f>
        <v>12653.18</v>
      </c>
      <c r="H8" s="18">
        <f ca="1">+C8/'Per Capita Plan Expenditure'!H8</f>
        <v>10906.489764973465</v>
      </c>
      <c r="I8" s="18">
        <f ca="1">+D8/'Per Capita Plan Expenditure'!I8</f>
        <v>13094.656259381567</v>
      </c>
      <c r="J8" s="18">
        <f ca="1">+E8/'Per Capita Plan Expenditure'!J8</f>
        <v>14766.914387633771</v>
      </c>
      <c r="K8" s="18">
        <f ca="1">+F8/'Per Capita Plan Expenditure'!K8</f>
        <v>17096.702487855146</v>
      </c>
      <c r="L8" s="18">
        <f ca="1">+G8/'Per Capita Plan Expenditure'!L8</f>
        <v>18455.630105017503</v>
      </c>
      <c r="M8" s="10">
        <f ca="1">+C8/'NON Plan Exp(%GSDP)'!H8*100</f>
        <v>21.178429467361539</v>
      </c>
      <c r="N8" s="10">
        <f ca="1">+D8/'NON Plan Exp(%GSDP)'!I8*100</f>
        <v>21.029481956464092</v>
      </c>
      <c r="O8" s="10">
        <f ca="1">+E8/'NON Plan Exp(%GSDP)'!J8*100</f>
        <v>20.617111788997487</v>
      </c>
      <c r="P8" s="10">
        <f ca="1">+F8/'NON Plan Exp(%GSDP)'!K8*100</f>
        <v>20.694933979579112</v>
      </c>
      <c r="Q8" s="10">
        <f ca="1">+G8/'NON Plan Exp(%GSDP)'!L8*100</f>
        <v>19.979441347839131</v>
      </c>
    </row>
    <row r="9" spans="1:17" ht="19.5" customHeight="1">
      <c r="A9" s="3">
        <v>4</v>
      </c>
      <c r="B9" s="6" t="s">
        <v>60</v>
      </c>
      <c r="C9" s="18">
        <f ca="1">+'NON Plan Exp(%GSDP)'!C9</f>
        <v>11741.88</v>
      </c>
      <c r="D9" s="18">
        <f ca="1">+'NON Plan Exp(%GSDP)'!D9</f>
        <v>15005.54</v>
      </c>
      <c r="E9" s="18">
        <f ca="1">+'NON Plan Exp(%GSDP)'!E9</f>
        <v>14918.37</v>
      </c>
      <c r="F9" s="18">
        <f ca="1">+'NON Plan Exp(%GSDP)'!F9</f>
        <v>17962.98</v>
      </c>
      <c r="G9" s="18">
        <f ca="1">+'NON Plan Exp(%GSDP)'!G9</f>
        <v>21895.72</v>
      </c>
      <c r="H9" s="18">
        <f ca="1">+C9/'Per Capita Plan Expenditure'!H9</f>
        <v>10430.736430665364</v>
      </c>
      <c r="I9" s="18">
        <f ca="1">+D9/'Per Capita Plan Expenditure'!I9</f>
        <v>13146.609427019452</v>
      </c>
      <c r="J9" s="18">
        <f ca="1">+E9/'Per Capita Plan Expenditure'!J9</f>
        <v>12896.239626556016</v>
      </c>
      <c r="K9" s="18">
        <f ca="1">+F9/'Per Capita Plan Expenditure'!K9</f>
        <v>15329.390681003584</v>
      </c>
      <c r="L9" s="18">
        <f ca="1">+G9/'Per Capita Plan Expenditure'!L9</f>
        <v>18454.041297935102</v>
      </c>
      <c r="M9" s="10">
        <f ca="1">+C9/'NON Plan Exp(%GSDP)'!H9*100</f>
        <v>31.650125340305667</v>
      </c>
      <c r="N9" s="10">
        <f ca="1">+D9/'NON Plan Exp(%GSDP)'!I9*100</f>
        <v>35.461514829256771</v>
      </c>
      <c r="O9" s="10">
        <f ca="1">+E9/'NON Plan Exp(%GSDP)'!J9*100</f>
        <v>30.834545905502047</v>
      </c>
      <c r="P9" s="10">
        <f ca="1">+F9/'NON Plan Exp(%GSDP)'!K9*100</f>
        <v>32.397251379720807</v>
      </c>
      <c r="Q9" s="10">
        <f ca="1">+G9/'NON Plan Exp(%GSDP)'!L9*100</f>
        <v>34.433188130022494</v>
      </c>
    </row>
    <row r="10" spans="1:17" ht="19.5" customHeight="1">
      <c r="A10" s="3">
        <v>5</v>
      </c>
      <c r="B10" s="6" t="s">
        <v>18</v>
      </c>
      <c r="C10" s="18">
        <f ca="1">+'NON Plan Exp(%GSDP)'!C10</f>
        <v>1814.77</v>
      </c>
      <c r="D10" s="18">
        <f ca="1">+'NON Plan Exp(%GSDP)'!D10</f>
        <v>2135.5700000000002</v>
      </c>
      <c r="E10" s="18">
        <f ca="1">+'NON Plan Exp(%GSDP)'!E10</f>
        <v>2303.9</v>
      </c>
      <c r="F10" s="18">
        <f ca="1">+'NON Plan Exp(%GSDP)'!F10</f>
        <v>2980.68</v>
      </c>
      <c r="G10" s="18">
        <f ca="1">+'NON Plan Exp(%GSDP)'!G10</f>
        <v>3116.49</v>
      </c>
      <c r="H10" s="18">
        <f ca="1">+C10/'Per Capita Plan Expenditure'!H10</f>
        <v>7676.6920473773262</v>
      </c>
      <c r="I10" s="18">
        <f ca="1">+D10/'Per Capita Plan Expenditure'!I10</f>
        <v>8924.2373589636445</v>
      </c>
      <c r="J10" s="18">
        <f ca="1">+E10/'Per Capita Plan Expenditure'!J10</f>
        <v>9516.315572077654</v>
      </c>
      <c r="K10" s="18">
        <f ca="1">+F10/'Per Capita Plan Expenditure'!K10</f>
        <v>12171.008574928541</v>
      </c>
      <c r="L10" s="18">
        <f ca="1">+G10/'Per Capita Plan Expenditure'!L10</f>
        <v>12576.634382566586</v>
      </c>
      <c r="M10" s="10">
        <f ca="1">+C10/'NON Plan Exp(%GSDP)'!H10*100</f>
        <v>26.754680819696297</v>
      </c>
      <c r="N10" s="10">
        <f ca="1">+D10/'NON Plan Exp(%GSDP)'!I10*100</f>
        <v>28.8629544533045</v>
      </c>
      <c r="O10" s="10">
        <f ca="1">+E10/'NON Plan Exp(%GSDP)'!J10*100</f>
        <v>27.711089728169352</v>
      </c>
      <c r="P10" s="10">
        <f ca="1">+F10/'NON Plan Exp(%GSDP)'!K10*100</f>
        <v>32.405740378343118</v>
      </c>
      <c r="Q10" s="10">
        <f ca="1">+G10/'NON Plan Exp(%GSDP)'!L10*100</f>
        <v>30.58981154299175</v>
      </c>
    </row>
    <row r="11" spans="1:17" s="99" customFormat="1" ht="19.5" customHeight="1">
      <c r="A11" s="96">
        <v>6</v>
      </c>
      <c r="B11" s="97" t="s">
        <v>19</v>
      </c>
      <c r="C11" s="18">
        <f ca="1">+'NON Plan Exp(%GSDP)'!C11</f>
        <v>1543.82</v>
      </c>
      <c r="D11" s="18">
        <f ca="1">+'NON Plan Exp(%GSDP)'!D11</f>
        <v>1684.51</v>
      </c>
      <c r="E11" s="18">
        <f ca="1">+'NON Plan Exp(%GSDP)'!E11</f>
        <v>2152.4499999999998</v>
      </c>
      <c r="F11" s="18">
        <f ca="1">+'NON Plan Exp(%GSDP)'!F11</f>
        <v>2560.87</v>
      </c>
      <c r="G11" s="18">
        <f ca="1">+'NON Plan Exp(%GSDP)'!G11</f>
        <v>2603.87</v>
      </c>
      <c r="H11" s="18">
        <f ca="1">+C11/'Per Capita Plan Expenditure'!H11</f>
        <v>6102.055335968379</v>
      </c>
      <c r="I11" s="18">
        <f ca="1">+D11/'Per Capita Plan Expenditure'!I11</f>
        <v>6580.1171875</v>
      </c>
      <c r="J11" s="18">
        <f ca="1">+E11/'Per Capita Plan Expenditure'!J11</f>
        <v>8307.4102663064441</v>
      </c>
      <c r="K11" s="18">
        <f ca="1">+F11/'Per Capita Plan Expenditure'!K11</f>
        <v>9770.5837466615794</v>
      </c>
      <c r="L11" s="18">
        <f ca="1">+G11/'Per Capita Plan Expenditure'!L11</f>
        <v>9822.2180309317228</v>
      </c>
      <c r="M11" s="10">
        <f ca="1">+C11/'NON Plan Exp(%GSDP)'!H11*100</f>
        <v>15.858448895737032</v>
      </c>
      <c r="N11" s="10">
        <f ca="1">+D11/'NON Plan Exp(%GSDP)'!I11*100</f>
        <v>14.500387363346819</v>
      </c>
      <c r="O11" s="10">
        <f ca="1">+E11/'NON Plan Exp(%GSDP)'!J11*100</f>
        <v>16.936423007317646</v>
      </c>
      <c r="P11" s="10">
        <f ca="1">+F11/'NON Plan Exp(%GSDP)'!K11*100</f>
        <v>18.180249893511288</v>
      </c>
      <c r="Q11" s="10">
        <f ca="1">+G11/'NON Plan Exp(%GSDP)'!L11*100</f>
        <v>16.38169235608682</v>
      </c>
    </row>
    <row r="12" spans="1:17" ht="19.5" customHeight="1">
      <c r="A12" s="3">
        <v>7</v>
      </c>
      <c r="B12" s="6" t="s">
        <v>20</v>
      </c>
      <c r="C12" s="18">
        <f ca="1">+'NON Plan Exp(%GSDP)'!C12</f>
        <v>1196.32</v>
      </c>
      <c r="D12" s="18">
        <f ca="1">+'NON Plan Exp(%GSDP)'!D12</f>
        <v>1633.53</v>
      </c>
      <c r="E12" s="18">
        <f ca="1">+'NON Plan Exp(%GSDP)'!E12</f>
        <v>1813.13</v>
      </c>
      <c r="F12" s="18">
        <f ca="1">+'NON Plan Exp(%GSDP)'!F12</f>
        <v>2227.65</v>
      </c>
      <c r="G12" s="18">
        <f ca="1">+'NON Plan Exp(%GSDP)'!G12</f>
        <v>2446.6</v>
      </c>
      <c r="H12" s="18">
        <f ca="1">+C12/'Per Capita Plan Expenditure'!H12</f>
        <v>12333.195876288659</v>
      </c>
      <c r="I12" s="18">
        <f ca="1">+D12/'Per Capita Plan Expenditure'!I12</f>
        <v>16651.681957186542</v>
      </c>
      <c r="J12" s="18">
        <f ca="1">+E12/'Per Capita Plan Expenditure'!J12</f>
        <v>18259.113796576032</v>
      </c>
      <c r="K12" s="18">
        <f ca="1">+F12/'Per Capita Plan Expenditure'!K12</f>
        <v>22187.749003984063</v>
      </c>
      <c r="L12" s="18">
        <f ca="1">+G12/'Per Capita Plan Expenditure'!L12</f>
        <v>24080.708661417324</v>
      </c>
      <c r="M12" s="10">
        <f ca="1">+C12/'NON Plan Exp(%GSDP)'!H12*100</f>
        <v>31.350104821802933</v>
      </c>
      <c r="N12" s="10">
        <f ca="1">+D12/'NON Plan Exp(%GSDP)'!I12*100</f>
        <v>35.689971597116013</v>
      </c>
      <c r="O12" s="10">
        <f ca="1">+E12/'NON Plan Exp(%GSDP)'!J12*100</f>
        <v>34.470152091254761</v>
      </c>
      <c r="P12" s="10">
        <f ca="1">+F12/'NON Plan Exp(%GSDP)'!K12*100</f>
        <v>36.772036975899638</v>
      </c>
      <c r="Q12" s="10">
        <f ca="1">+G12/'NON Plan Exp(%GSDP)'!L12*100</f>
        <v>36.698106401109129</v>
      </c>
    </row>
    <row r="13" spans="1:17" ht="19.5" customHeight="1">
      <c r="A13" s="3">
        <v>8</v>
      </c>
      <c r="B13" s="6" t="s">
        <v>21</v>
      </c>
      <c r="C13" s="18">
        <f ca="1">+'NON Plan Exp(%GSDP)'!C13</f>
        <v>2186.19</v>
      </c>
      <c r="D13" s="18">
        <f ca="1">+'NON Plan Exp(%GSDP)'!D13</f>
        <v>2449.83</v>
      </c>
      <c r="E13" s="18">
        <f ca="1">+'NON Plan Exp(%GSDP)'!E13</f>
        <v>2951.58</v>
      </c>
      <c r="F13" s="18">
        <f ca="1">+'NON Plan Exp(%GSDP)'!F13</f>
        <v>3720.09</v>
      </c>
      <c r="G13" s="18">
        <f ca="1">+'NON Plan Exp(%GSDP)'!G13</f>
        <v>4023.08</v>
      </c>
      <c r="H13" s="18">
        <f ca="1">+C13/'Per Capita Plan Expenditure'!H13</f>
        <v>10069.967756794105</v>
      </c>
      <c r="I13" s="18">
        <f ca="1">+D13/'Per Capita Plan Expenditure'!I13</f>
        <v>11150.796540737369</v>
      </c>
      <c r="J13" s="18">
        <f ca="1">+E13/'Per Capita Plan Expenditure'!J13</f>
        <v>13277.462887989204</v>
      </c>
      <c r="K13" s="18">
        <f ca="1">+F13/'Per Capita Plan Expenditure'!K13</f>
        <v>16541.084926634063</v>
      </c>
      <c r="L13" s="18">
        <f ca="1">+G13/'Per Capita Plan Expenditure'!L13</f>
        <v>17683.86813186813</v>
      </c>
      <c r="M13" s="10">
        <f ca="1">+C13/'NON Plan Exp(%GSDP)'!H13*100</f>
        <v>27.073560371517029</v>
      </c>
      <c r="N13" s="10">
        <f ca="1">+D13/'NON Plan Exp(%GSDP)'!I13*100</f>
        <v>25.962590080542604</v>
      </c>
      <c r="O13" s="10">
        <f ca="1">+E13/'NON Plan Exp(%GSDP)'!J13*100</f>
        <v>28.091558008946414</v>
      </c>
      <c r="P13" s="10">
        <f ca="1">+F13/'NON Plan Exp(%GSDP)'!K13*100</f>
        <v>33.244772117962469</v>
      </c>
      <c r="Q13" s="10">
        <f ca="1">+G13/'NON Plan Exp(%GSDP)'!L13*100</f>
        <v>33.15543102027361</v>
      </c>
    </row>
    <row r="14" spans="1:17" ht="19.5" customHeight="1">
      <c r="A14" s="3">
        <v>9</v>
      </c>
      <c r="B14" s="6" t="s">
        <v>22</v>
      </c>
      <c r="C14" s="18">
        <f ca="1">+'NON Plan Exp(%GSDP)'!C14</f>
        <v>727.08</v>
      </c>
      <c r="D14" s="18">
        <f ca="1">+'NON Plan Exp(%GSDP)'!D14</f>
        <v>863.07</v>
      </c>
      <c r="E14" s="18">
        <f ca="1">+'NON Plan Exp(%GSDP)'!E14</f>
        <v>1256.67</v>
      </c>
      <c r="F14" s="18">
        <f ca="1">+'NON Plan Exp(%GSDP)'!F14</f>
        <v>1336.64</v>
      </c>
      <c r="G14" s="18">
        <f ca="1">+'NON Plan Exp(%GSDP)'!G14</f>
        <v>1454.03</v>
      </c>
      <c r="H14" s="18">
        <f ca="1">+C14/'Per Capita Plan Expenditure'!H14</f>
        <v>12302.53807106599</v>
      </c>
      <c r="I14" s="18">
        <f ca="1">+D14/'Per Capita Plan Expenditure'!I14</f>
        <v>14432.608695652176</v>
      </c>
      <c r="J14" s="18">
        <f ca="1">+E14/'Per Capita Plan Expenditure'!J14</f>
        <v>20771.404958677689</v>
      </c>
      <c r="K14" s="18">
        <f ca="1">+F14/'Per Capita Plan Expenditure'!K14</f>
        <v>21840.522875816994</v>
      </c>
      <c r="L14" s="18">
        <f ca="1">+G14/'Per Capita Plan Expenditure'!L14</f>
        <v>23489.983844911148</v>
      </c>
      <c r="M14" s="10">
        <f ca="1">+C14/'NON Plan Exp(%GSDP)'!H14*100</f>
        <v>29.013567438148446</v>
      </c>
      <c r="N14" s="10">
        <f ca="1">+D14/'NON Plan Exp(%GSDP)'!I14*100</f>
        <v>26.72870857850728</v>
      </c>
      <c r="O14" s="10">
        <f ca="1">+E14/'NON Plan Exp(%GSDP)'!J14*100</f>
        <v>20.490298385781838</v>
      </c>
      <c r="P14" s="10">
        <f ca="1">+F14/'NON Plan Exp(%GSDP)'!K14*100</f>
        <v>18.707347795661303</v>
      </c>
      <c r="Q14" s="10">
        <f ca="1">+G14/'NON Plan Exp(%GSDP)'!L14*100</f>
        <v>17.309880952380951</v>
      </c>
    </row>
    <row r="15" spans="1:17" ht="19.5" customHeight="1">
      <c r="A15" s="3">
        <v>10</v>
      </c>
      <c r="B15" s="6" t="s">
        <v>23</v>
      </c>
      <c r="C15" s="18">
        <f ca="1">+'NON Plan Exp(%GSDP)'!C15</f>
        <v>2296.1799999999998</v>
      </c>
      <c r="D15" s="18">
        <f ca="1">+'NON Plan Exp(%GSDP)'!D15</f>
        <v>2583.4699999999998</v>
      </c>
      <c r="E15" s="18">
        <f ca="1">+'NON Plan Exp(%GSDP)'!E15</f>
        <v>3680.6</v>
      </c>
      <c r="F15" s="18">
        <f ca="1">+'NON Plan Exp(%GSDP)'!F15</f>
        <v>3737.16</v>
      </c>
      <c r="G15" s="18">
        <f ca="1">+'NON Plan Exp(%GSDP)'!G15</f>
        <v>4213.07</v>
      </c>
      <c r="H15" s="18">
        <f ca="1">+C15/'Per Capita Plan Expenditure'!H15</f>
        <v>6577.4276711543962</v>
      </c>
      <c r="I15" s="18">
        <f ca="1">+D15/'Per Capita Plan Expenditure'!I15</f>
        <v>7314.4677236693087</v>
      </c>
      <c r="J15" s="18">
        <f ca="1">+E15/'Per Capita Plan Expenditure'!J15</f>
        <v>10298.265249020706</v>
      </c>
      <c r="K15" s="18">
        <f ca="1">+F15/'Per Capita Plan Expenditure'!K15</f>
        <v>10335.066371681416</v>
      </c>
      <c r="L15" s="18">
        <f ca="1">+G15/'Per Capita Plan Expenditure'!L15</f>
        <v>11517.413887370147</v>
      </c>
      <c r="M15" s="10">
        <f ca="1">+C15/'NON Plan Exp(%GSDP)'!H15*100</f>
        <v>19.464101042637957</v>
      </c>
      <c r="N15" s="10">
        <f ca="1">+D15/'NON Plan Exp(%GSDP)'!I15*100</f>
        <v>19.033890812642746</v>
      </c>
      <c r="O15" s="10">
        <f ca="1">+E15/'NON Plan Exp(%GSDP)'!J15*100</f>
        <v>23.980974719833203</v>
      </c>
      <c r="P15" s="10">
        <f ca="1">+F15/'NON Plan Exp(%GSDP)'!K15*100</f>
        <v>21.49398976246621</v>
      </c>
      <c r="Q15" s="10">
        <f ca="1">+G15/'NON Plan Exp(%GSDP)'!L15*100</f>
        <v>21.352541685672293</v>
      </c>
    </row>
    <row r="16" spans="1:17" ht="19.5" customHeight="1">
      <c r="A16" s="3">
        <v>11</v>
      </c>
      <c r="B16" s="6" t="s">
        <v>24</v>
      </c>
      <c r="C16" s="18">
        <f ca="1">+'NON Plan Exp(%GSDP)'!C16</f>
        <v>6300.43</v>
      </c>
      <c r="D16" s="18">
        <f ca="1">+'NON Plan Exp(%GSDP)'!D16</f>
        <v>7372.25</v>
      </c>
      <c r="E16" s="18">
        <f ca="1">+'NON Plan Exp(%GSDP)'!E16</f>
        <v>10386.799999999999</v>
      </c>
      <c r="F16" s="18">
        <f ca="1">+'NON Plan Exp(%GSDP)'!F16</f>
        <v>10985.74</v>
      </c>
      <c r="G16" s="18">
        <f ca="1">+'NON Plan Exp(%GSDP)'!G16</f>
        <v>12802.62</v>
      </c>
      <c r="H16" s="18">
        <f ca="1">+C16/'Per Capita Plan Expenditure'!H16</f>
        <v>6624.3612659026394</v>
      </c>
      <c r="I16" s="18">
        <f ca="1">+D16/'Per Capita Plan Expenditure'!I16</f>
        <v>7634.8902236951117</v>
      </c>
      <c r="J16" s="18">
        <f ca="1">+E16/'Per Capita Plan Expenditure'!J16</f>
        <v>10598.775510204081</v>
      </c>
      <c r="K16" s="18">
        <f ca="1">+F16/'Per Capita Plan Expenditure'!K16</f>
        <v>11048.717690837775</v>
      </c>
      <c r="L16" s="18">
        <f ca="1">+G16/'Per Capita Plan Expenditure'!L16</f>
        <v>12695.973819912735</v>
      </c>
      <c r="M16" s="10">
        <f ca="1">+C16/'NON Plan Exp(%GSDP)'!H16*100</f>
        <v>13.739597871598047</v>
      </c>
      <c r="N16" s="10">
        <f ca="1">+D16/'NON Plan Exp(%GSDP)'!I16*100</f>
        <v>13.158857652833555</v>
      </c>
      <c r="O16" s="10">
        <f ca="1">+E16/'NON Plan Exp(%GSDP)'!J16*100</f>
        <v>14.659233646178816</v>
      </c>
      <c r="P16" s="10">
        <f ca="1">+F16/'NON Plan Exp(%GSDP)'!K16*100</f>
        <v>13.322507882609749</v>
      </c>
      <c r="Q16" s="10">
        <f ca="1">+G16/'NON Plan Exp(%GSDP)'!L16*100</f>
        <v>13.447988991712274</v>
      </c>
    </row>
    <row r="17" spans="1:17" s="87" customFormat="1" ht="19.5" customHeight="1">
      <c r="A17" s="84"/>
      <c r="B17" s="4" t="s">
        <v>25</v>
      </c>
      <c r="C17" s="86">
        <f ca="1">SUM(C6:C16)</f>
        <v>47312.95</v>
      </c>
      <c r="D17" s="86">
        <f ca="1">SUM(D6:D16)</f>
        <v>55497.69</v>
      </c>
      <c r="E17" s="78">
        <f ca="1">SUM(E6:E16)</f>
        <v>66913.209999999992</v>
      </c>
      <c r="F17" s="78">
        <f ca="1">SUM(F6:F16)</f>
        <v>79701.160000000018</v>
      </c>
      <c r="G17" s="78">
        <f ca="1">SUM(G6:G16)</f>
        <v>92618.989999999991</v>
      </c>
      <c r="H17" s="78">
        <f ca="1">+C17/'Per Capita Plan Expenditure'!H17</f>
        <v>6748.0994965270338</v>
      </c>
      <c r="I17" s="78">
        <f ca="1">+D17/'Per Capita Plan Expenditure'!I17</f>
        <v>7814.4848561652516</v>
      </c>
      <c r="J17" s="78">
        <f ca="1">+E17/'Per Capita Plan Expenditure'!J17</f>
        <v>9303.7096258394613</v>
      </c>
      <c r="K17" s="78">
        <f ca="1">+F17/'Per Capita Plan Expenditure'!K17</f>
        <v>10945.856566044993</v>
      </c>
      <c r="L17" s="78">
        <f ca="1">+G17/'Per Capita Plan Expenditure'!L17</f>
        <v>12566.686114352389</v>
      </c>
      <c r="M17" s="42">
        <f ca="1">+C17/'NON Plan Exp(%GSDP)'!H17*100</f>
        <v>20.089059766640059</v>
      </c>
      <c r="N17" s="42">
        <f ca="1">+D17/'NON Plan Exp(%GSDP)'!I17*100</f>
        <v>20.077669446303567</v>
      </c>
      <c r="O17" s="42">
        <f ca="1">+E17/'NON Plan Exp(%GSDP)'!J17*100</f>
        <v>20.555853882569064</v>
      </c>
      <c r="P17" s="42">
        <f ca="1">+F17/'NON Plan Exp(%GSDP)'!K17*100</f>
        <v>21.463296143395358</v>
      </c>
      <c r="Q17" s="42">
        <f ca="1">+G17/'NON Plan Exp(%GSDP)'!L17*100</f>
        <v>22.057348688873386</v>
      </c>
    </row>
    <row r="18" spans="1:17" ht="19.5" customHeight="1">
      <c r="A18" s="3"/>
      <c r="B18" s="4" t="s">
        <v>26</v>
      </c>
      <c r="C18" s="86"/>
      <c r="D18" s="86"/>
      <c r="E18" s="16"/>
      <c r="F18" s="16"/>
      <c r="G18" s="16"/>
      <c r="H18" s="102"/>
      <c r="I18" s="102"/>
      <c r="J18" s="102"/>
      <c r="K18" s="102"/>
      <c r="L18" s="102"/>
      <c r="M18" s="10"/>
      <c r="N18" s="10"/>
      <c r="O18" s="9"/>
      <c r="P18" s="9"/>
      <c r="Q18" s="9"/>
    </row>
    <row r="19" spans="1:17" ht="19.5" customHeight="1">
      <c r="A19" s="3">
        <v>12</v>
      </c>
      <c r="B19" s="6" t="s">
        <v>27</v>
      </c>
      <c r="C19" s="18">
        <f ca="1">+'NON Plan Exp(%GSDP)'!C19</f>
        <v>40690.78</v>
      </c>
      <c r="D19" s="18">
        <f ca="1">+'NON Plan Exp(%GSDP)'!D19</f>
        <v>42933.41</v>
      </c>
      <c r="E19" s="18">
        <f ca="1">+'NON Plan Exp(%GSDP)'!E19</f>
        <v>47920.55</v>
      </c>
      <c r="F19" s="18">
        <f ca="1">+'NON Plan Exp(%GSDP)'!F19</f>
        <v>58938.62</v>
      </c>
      <c r="G19" s="18">
        <f ca="1">+'NON Plan Exp(%GSDP)'!G19</f>
        <v>71274.41</v>
      </c>
      <c r="H19" s="18">
        <f ca="1">+C19/'Per Capita Plan Expenditure'!H19</f>
        <v>4939.7001517450681</v>
      </c>
      <c r="I19" s="18">
        <f ca="1">+D19/'Per Capita Plan Expenditure'!I19</f>
        <v>5161.6304792132541</v>
      </c>
      <c r="J19" s="18">
        <f ca="1">+E19/'Per Capita Plan Expenditure'!J19</f>
        <v>5707.2733552474874</v>
      </c>
      <c r="K19" s="18">
        <f ca="1">+F19/'Per Capita Plan Expenditure'!K19</f>
        <v>6955.6405263468469</v>
      </c>
      <c r="L19" s="18">
        <f ca="1">+G19/'Per Capita Plan Expenditure'!L19</f>
        <v>8337.0658899767241</v>
      </c>
      <c r="M19" s="10">
        <f ca="1">+C19/'NON Plan Exp(%GSDP)'!H19*100</f>
        <v>11.153873354293843</v>
      </c>
      <c r="N19" s="10">
        <f ca="1">+D19/'NON Plan Exp(%GSDP)'!I19*100</f>
        <v>10.060199407167881</v>
      </c>
      <c r="O19" s="10">
        <f ca="1">+E19/'NON Plan Exp(%GSDP)'!J19*100</f>
        <v>9.7715079800412319</v>
      </c>
      <c r="P19" s="10">
        <f ca="1">+F19/'NON Plan Exp(%GSDP)'!K19*100</f>
        <v>10.007185510804584</v>
      </c>
      <c r="Q19" s="10">
        <f ca="1">+G19/'NON Plan Exp(%GSDP)'!L19*100</f>
        <v>10.546703304833693</v>
      </c>
    </row>
    <row r="20" spans="1:17" ht="19.5" customHeight="1">
      <c r="A20" s="3">
        <v>13</v>
      </c>
      <c r="B20" s="6" t="s">
        <v>28</v>
      </c>
      <c r="C20" s="18">
        <f ca="1">+'NON Plan Exp(%GSDP)'!C20</f>
        <v>18993.64</v>
      </c>
      <c r="D20" s="18">
        <f ca="1">+'NON Plan Exp(%GSDP)'!D20</f>
        <v>21685.24</v>
      </c>
      <c r="E20" s="18">
        <f ca="1">+'NON Plan Exp(%GSDP)'!E20</f>
        <v>24618.86</v>
      </c>
      <c r="F20" s="18">
        <f ca="1">+'NON Plan Exp(%GSDP)'!F20</f>
        <v>27603.95</v>
      </c>
      <c r="G20" s="18">
        <f ca="1">+'NON Plan Exp(%GSDP)'!G20</f>
        <v>34915.06</v>
      </c>
      <c r="H20" s="18">
        <f ca="1">+C20/'Per Capita Plan Expenditure'!H20</f>
        <v>2028.5198594512617</v>
      </c>
      <c r="I20" s="18">
        <f ca="1">+D20/'Per Capita Plan Expenditure'!I20</f>
        <v>2282.032285900701</v>
      </c>
      <c r="J20" s="18">
        <f ca="1">+E20/'Per Capita Plan Expenditure'!J20</f>
        <v>2554.1150961209269</v>
      </c>
      <c r="K20" s="18">
        <f ca="1">+F20/'Per Capita Plan Expenditure'!K20</f>
        <v>2824.8004502660665</v>
      </c>
      <c r="L20" s="18">
        <f ca="1">+G20/'Per Capita Plan Expenditure'!L20</f>
        <v>3526.0614017370231</v>
      </c>
      <c r="M20" s="10">
        <f ca="1">+C20/'NON Plan Exp(%GSDP)'!H20*100</f>
        <v>16.707987332864178</v>
      </c>
      <c r="N20" s="10">
        <f ca="1">+D20/'NON Plan Exp(%GSDP)'!I20*100</f>
        <v>15.241349742407525</v>
      </c>
      <c r="O20" s="10">
        <f ca="1">+E20/'NON Plan Exp(%GSDP)'!J20*100</f>
        <v>15.029829059829062</v>
      </c>
      <c r="P20" s="10">
        <f ca="1">+F20/'NON Plan Exp(%GSDP)'!K20*100</f>
        <v>13.675070347178186</v>
      </c>
      <c r="Q20" s="10">
        <f ca="1">+G20/'NON Plan Exp(%GSDP)'!L20*100</f>
        <v>13.817130600647424</v>
      </c>
    </row>
    <row r="21" spans="1:17" ht="19.5" customHeight="1">
      <c r="A21" s="3">
        <v>14</v>
      </c>
      <c r="B21" s="6" t="s">
        <v>29</v>
      </c>
      <c r="C21" s="18">
        <f ca="1">+'NON Plan Exp(%GSDP)'!C21</f>
        <v>7293.77</v>
      </c>
      <c r="D21" s="18">
        <f ca="1">+'NON Plan Exp(%GSDP)'!D21</f>
        <v>8385.68</v>
      </c>
      <c r="E21" s="18">
        <f ca="1">+'NON Plan Exp(%GSDP)'!E21</f>
        <v>10460.92</v>
      </c>
      <c r="F21" s="18">
        <f ca="1">+'NON Plan Exp(%GSDP)'!F21</f>
        <v>11299.72</v>
      </c>
      <c r="G21" s="18">
        <f ca="1">+'NON Plan Exp(%GSDP)'!G21</f>
        <v>13292.3</v>
      </c>
      <c r="H21" s="18">
        <f ca="1">+C21/'Per Capita Plan Expenditure'!H21</f>
        <v>3134.5438136576558</v>
      </c>
      <c r="I21" s="18">
        <f ca="1">+D21/'Per Capita Plan Expenditure'!I21</f>
        <v>3553.2542372881358</v>
      </c>
      <c r="J21" s="18">
        <f ca="1">+E21/'Per Capita Plan Expenditure'!J21</f>
        <v>4371.6494629946928</v>
      </c>
      <c r="K21" s="18">
        <f ca="1">+F21/'Per Capita Plan Expenditure'!K21</f>
        <v>4658.1416439937339</v>
      </c>
      <c r="L21" s="18">
        <f ca="1">+G21/'Per Capita Plan Expenditure'!L21</f>
        <v>5406.6707341875126</v>
      </c>
      <c r="M21" s="10">
        <f ca="1">+C21/'NON Plan Exp(%GSDP)'!H21*100</f>
        <v>9.0882437231325142</v>
      </c>
      <c r="N21" s="10">
        <f ca="1">+D21/'NON Plan Exp(%GSDP)'!I21*100</f>
        <v>8.6475271212308709</v>
      </c>
      <c r="O21" s="10">
        <f ca="1">+E21/'NON Plan Exp(%GSDP)'!J21*100</f>
        <v>10.538695573331184</v>
      </c>
      <c r="P21" s="10">
        <f ca="1">+F21/'NON Plan Exp(%GSDP)'!K21*100</f>
        <v>9.6113024913453593</v>
      </c>
      <c r="Q21" s="10">
        <f ca="1">+G21/'NON Plan Exp(%GSDP)'!L21*100</f>
        <v>9.8072098925746651</v>
      </c>
    </row>
    <row r="22" spans="1:17" s="20" customFormat="1" ht="19.5" customHeight="1">
      <c r="A22" s="3">
        <v>15</v>
      </c>
      <c r="B22" s="6" t="s">
        <v>30</v>
      </c>
      <c r="C22" s="18">
        <f ca="1">+'NON Plan Exp(%GSDP)'!C22</f>
        <v>1575.66</v>
      </c>
      <c r="D22" s="18">
        <f ca="1">+'NON Plan Exp(%GSDP)'!D22</f>
        <v>1997.3</v>
      </c>
      <c r="E22" s="18">
        <f ca="1">+'NON Plan Exp(%GSDP)'!E22</f>
        <v>2659.74</v>
      </c>
      <c r="F22" s="18">
        <f ca="1">+'NON Plan Exp(%GSDP)'!F22</f>
        <v>3316.7</v>
      </c>
      <c r="G22" s="18">
        <f ca="1">+'NON Plan Exp(%GSDP)'!G22</f>
        <v>3514.7</v>
      </c>
      <c r="H22" s="18">
        <f ca="1">+C22/'Per Capita Plan Expenditure'!H22</f>
        <v>9872.5563909774446</v>
      </c>
      <c r="I22" s="18">
        <f ca="1">+D22/'Per Capita Plan Expenditure'!I22</f>
        <v>12068.277945619335</v>
      </c>
      <c r="J22" s="18">
        <f ca="1">+E22/'Per Capita Plan Expenditure'!J22</f>
        <v>15517.736289381563</v>
      </c>
      <c r="K22" s="18">
        <f ca="1">+F22/'Per Capita Plan Expenditure'!K22</f>
        <v>18770.232031692132</v>
      </c>
      <c r="L22" s="18">
        <f ca="1">+G22/'Per Capita Plan Expenditure'!L22</f>
        <v>19343.42322509631</v>
      </c>
      <c r="M22" s="10">
        <f ca="1">+C22/'NON Plan Exp(%GSDP)'!H22*100</f>
        <v>8.0534628162535142</v>
      </c>
      <c r="N22" s="10">
        <f ca="1">+D22/'NON Plan Exp(%GSDP)'!I22*100</f>
        <v>7.8590540646887543</v>
      </c>
      <c r="O22" s="10">
        <f ca="1">+E22/'NON Plan Exp(%GSDP)'!J22*100</f>
        <v>9.1318409668337548</v>
      </c>
      <c r="P22" s="10">
        <f ca="1">+F22/'NON Plan Exp(%GSDP)'!K22*100</f>
        <v>10.185486595215428</v>
      </c>
      <c r="Q22" s="10">
        <f ca="1">+G22/'NON Plan Exp(%GSDP)'!L22*100</f>
        <v>7.9053081421502469</v>
      </c>
    </row>
    <row r="23" spans="1:17" ht="19.5" customHeight="1">
      <c r="A23" s="3">
        <v>16</v>
      </c>
      <c r="B23" s="6" t="s">
        <v>31</v>
      </c>
      <c r="C23" s="18">
        <f ca="1">+'NON Plan Exp(%GSDP)'!C23</f>
        <v>25083.11</v>
      </c>
      <c r="D23" s="18">
        <f ca="1">+'NON Plan Exp(%GSDP)'!D23</f>
        <v>27276.36</v>
      </c>
      <c r="E23" s="18">
        <f ca="1">+'NON Plan Exp(%GSDP)'!E23</f>
        <v>34089</v>
      </c>
      <c r="F23" s="18">
        <f ca="1">+'NON Plan Exp(%GSDP)'!F23</f>
        <v>39359.43</v>
      </c>
      <c r="G23" s="18">
        <f ca="1">+'NON Plan Exp(%GSDP)'!G23</f>
        <v>42505.91</v>
      </c>
      <c r="H23" s="18">
        <f ca="1">+C23/'Per Capita Plan Expenditure'!H23</f>
        <v>4429.6100731112911</v>
      </c>
      <c r="I23" s="18">
        <f ca="1">+D23/'Per Capita Plan Expenditure'!I23</f>
        <v>4749.1659992339028</v>
      </c>
      <c r="J23" s="18">
        <f ca="1">+E23/'Per Capita Plan Expenditure'!J23</f>
        <v>5853.9978018958645</v>
      </c>
      <c r="K23" s="18">
        <f ca="1">+F23/'Per Capita Plan Expenditure'!K23</f>
        <v>6668.8292104371394</v>
      </c>
      <c r="L23" s="18">
        <f ca="1">+G23/'Per Capita Plan Expenditure'!L23</f>
        <v>7108.0117056856188</v>
      </c>
      <c r="M23" s="10">
        <f ca="1">+C23/'NON Plan Exp(%GSDP)'!H23*100</f>
        <v>7.6174468925095287</v>
      </c>
      <c r="N23" s="10">
        <f ca="1">+D23/'NON Plan Exp(%GSDP)'!I23*100</f>
        <v>7.4138272195525019</v>
      </c>
      <c r="O23" s="10">
        <f ca="1">+E23/'NON Plan Exp(%GSDP)'!J23*100</f>
        <v>7.9730093204383063</v>
      </c>
      <c r="P23" s="10">
        <f ca="1">+F23/'NON Plan Exp(%GSDP)'!K23*100</f>
        <v>7.6698170012841667</v>
      </c>
      <c r="Q23" s="10">
        <f ca="1">+G23/'NON Plan Exp(%GSDP)'!L23*100</f>
        <v>7.2498548429083005</v>
      </c>
    </row>
    <row r="24" spans="1:17" ht="19.5" customHeight="1">
      <c r="A24" s="3">
        <v>17</v>
      </c>
      <c r="B24" s="6" t="s">
        <v>32</v>
      </c>
      <c r="C24" s="18">
        <f ca="1">+'NON Plan Exp(%GSDP)'!C24</f>
        <v>14626</v>
      </c>
      <c r="D24" s="18">
        <f ca="1">+'NON Plan Exp(%GSDP)'!D24</f>
        <v>17129</v>
      </c>
      <c r="E24" s="18">
        <f ca="1">+'NON Plan Exp(%GSDP)'!E24</f>
        <v>20771</v>
      </c>
      <c r="F24" s="18">
        <f ca="1">+'NON Plan Exp(%GSDP)'!F24</f>
        <v>22428</v>
      </c>
      <c r="G24" s="18">
        <f ca="1">+'NON Plan Exp(%GSDP)'!G24</f>
        <v>24939</v>
      </c>
      <c r="H24" s="18">
        <f ca="1">+C24/'Per Capita Plan Expenditure'!H24</f>
        <v>6051.0529146497865</v>
      </c>
      <c r="I24" s="18">
        <f ca="1">+D24/'Per Capita Plan Expenditure'!I24</f>
        <v>6963.8573809814197</v>
      </c>
      <c r="J24" s="18">
        <f ca="1">+E24/'Per Capita Plan Expenditure'!J24</f>
        <v>8301.7585931254998</v>
      </c>
      <c r="K24" s="18">
        <f ca="1">+F24/'Per Capita Plan Expenditure'!K24</f>
        <v>8816.3842918353712</v>
      </c>
      <c r="L24" s="18">
        <f ca="1">+G24/'Per Capita Plan Expenditure'!L24</f>
        <v>9646.0895799489444</v>
      </c>
      <c r="M24" s="10">
        <f ca="1">+C24/'NON Plan Exp(%GSDP)'!H24*100</f>
        <v>9.6482027534252897</v>
      </c>
      <c r="N24" s="10">
        <f ca="1">+D24/'NON Plan Exp(%GSDP)'!I24*100</f>
        <v>9.3867306733303728</v>
      </c>
      <c r="O24" s="10">
        <f ca="1">+E24/'NON Plan Exp(%GSDP)'!J24*100</f>
        <v>9.2907271645636431</v>
      </c>
      <c r="P24" s="10">
        <f ca="1">+F24/'NON Plan Exp(%GSDP)'!K24*100</f>
        <v>8.4962591154465397</v>
      </c>
      <c r="Q24" s="10">
        <f ca="1">+G24/'NON Plan Exp(%GSDP)'!L24*100</f>
        <v>8.0723628630524082</v>
      </c>
    </row>
    <row r="25" spans="1:17" ht="19.5" customHeight="1">
      <c r="A25" s="3">
        <v>18</v>
      </c>
      <c r="B25" s="6" t="s">
        <v>33</v>
      </c>
      <c r="C25" s="18">
        <f ca="1">+'NON Plan Exp(%GSDP)'!C25</f>
        <v>8059.39</v>
      </c>
      <c r="D25" s="18">
        <f ca="1">+'NON Plan Exp(%GSDP)'!D25</f>
        <v>9263.3799999999992</v>
      </c>
      <c r="E25" s="18">
        <f ca="1">+'NON Plan Exp(%GSDP)'!E25</f>
        <v>11418.69</v>
      </c>
      <c r="F25" s="18">
        <f ca="1">+'NON Plan Exp(%GSDP)'!F25</f>
        <v>12121.09</v>
      </c>
      <c r="G25" s="18">
        <f ca="1">+'NON Plan Exp(%GSDP)'!G25</f>
        <v>13723.96</v>
      </c>
      <c r="H25" s="18">
        <f ca="1">+C25/'Per Capita Plan Expenditure'!H25</f>
        <v>2670.3522083429975</v>
      </c>
      <c r="I25" s="18">
        <f ca="1">+D25/'Per Capita Plan Expenditure'!I25</f>
        <v>3026.160530528241</v>
      </c>
      <c r="J25" s="18">
        <f ca="1">+E25/'Per Capita Plan Expenditure'!J25</f>
        <v>3678.7016752577319</v>
      </c>
      <c r="K25" s="18">
        <f ca="1">+F25/'Per Capita Plan Expenditure'!K25</f>
        <v>3851.3885358413827</v>
      </c>
      <c r="L25" s="18">
        <f ca="1">+G25/'Per Capita Plan Expenditure'!L25</f>
        <v>4301.6424272818458</v>
      </c>
      <c r="M25" s="10">
        <f ca="1">+C25/'NON Plan Exp(%GSDP)'!H25*100</f>
        <v>9.6002263251935691</v>
      </c>
      <c r="N25" s="10">
        <f ca="1">+D25/'NON Plan Exp(%GSDP)'!I25*100</f>
        <v>10.551267740392282</v>
      </c>
      <c r="O25" s="10">
        <f ca="1">+E25/'NON Plan Exp(%GSDP)'!J25*100</f>
        <v>11.34821756889715</v>
      </c>
      <c r="P25" s="10">
        <f ca="1">+F25/'NON Plan Exp(%GSDP)'!K25*100</f>
        <v>10.49127104340676</v>
      </c>
      <c r="Q25" s="10">
        <f ca="1">+G25/'NON Plan Exp(%GSDP)'!L25*100</f>
        <v>10.516041530975825</v>
      </c>
    </row>
    <row r="26" spans="1:17" ht="19.5" customHeight="1">
      <c r="A26" s="3">
        <v>19</v>
      </c>
      <c r="B26" s="6" t="s">
        <v>34</v>
      </c>
      <c r="C26" s="18">
        <f ca="1">+'NON Plan Exp(%GSDP)'!C26</f>
        <v>30517.41</v>
      </c>
      <c r="D26" s="18">
        <f ca="1">+'NON Plan Exp(%GSDP)'!D26</f>
        <v>32371.759999999998</v>
      </c>
      <c r="E26" s="18">
        <f ca="1">+'NON Plan Exp(%GSDP)'!E26</f>
        <v>36318</v>
      </c>
      <c r="F26" s="18">
        <f ca="1">+'NON Plan Exp(%GSDP)'!F26</f>
        <v>39621</v>
      </c>
      <c r="G26" s="18">
        <f ca="1">+'NON Plan Exp(%GSDP)'!G26</f>
        <v>46212</v>
      </c>
      <c r="H26" s="18">
        <f ca="1">+C26/'Per Capita Plan Expenditure'!H26</f>
        <v>5302.7645525629887</v>
      </c>
      <c r="I26" s="18">
        <f ca="1">+D26/'Per Capita Plan Expenditure'!I26</f>
        <v>5563.9744933913125</v>
      </c>
      <c r="J26" s="18">
        <f ca="1">+E26/'Per Capita Plan Expenditure'!J26</f>
        <v>6176.1104686756007</v>
      </c>
      <c r="K26" s="18">
        <f ca="1">+F26/'Per Capita Plan Expenditure'!K26</f>
        <v>6668.0691361349063</v>
      </c>
      <c r="L26" s="18">
        <f ca="1">+G26/'Per Capita Plan Expenditure'!L26</f>
        <v>7698.663912304668</v>
      </c>
      <c r="M26" s="10">
        <f ca="1">+C26/'NON Plan Exp(%GSDP)'!H26*100</f>
        <v>11.276474435481786</v>
      </c>
      <c r="N26" s="10">
        <f ca="1">+D26/'NON Plan Exp(%GSDP)'!I26*100</f>
        <v>10.432003918636726</v>
      </c>
      <c r="O26" s="10">
        <f ca="1">+E26/'NON Plan Exp(%GSDP)'!J26*100</f>
        <v>10.760378767228813</v>
      </c>
      <c r="P26" s="10">
        <f ca="1">+F26/'NON Plan Exp(%GSDP)'!K26*100</f>
        <v>9.9214467618387019</v>
      </c>
      <c r="Q26" s="10">
        <f ca="1">+G26/'NON Plan Exp(%GSDP)'!L26*100</f>
        <v>10.070101960545038</v>
      </c>
    </row>
    <row r="27" spans="1:17" ht="19.5" customHeight="1">
      <c r="A27" s="3">
        <v>20</v>
      </c>
      <c r="B27" s="6" t="s">
        <v>35</v>
      </c>
      <c r="C27" s="18">
        <f ca="1">+'NON Plan Exp(%GSDP)'!C27</f>
        <v>22710.51</v>
      </c>
      <c r="D27" s="18">
        <f ca="1">+'NON Plan Exp(%GSDP)'!D27</f>
        <v>25441.279999999999</v>
      </c>
      <c r="E27" s="18">
        <f ca="1">+'NON Plan Exp(%GSDP)'!E27</f>
        <v>27283.03</v>
      </c>
      <c r="F27" s="18">
        <f ca="1">+'NON Plan Exp(%GSDP)'!F27</f>
        <v>31509.53</v>
      </c>
      <c r="G27" s="18">
        <f ca="1">+'NON Plan Exp(%GSDP)'!G27</f>
        <v>41070</v>
      </c>
      <c r="H27" s="18">
        <f ca="1">+C27/'Per Capita Plan Expenditure'!H27</f>
        <v>6718.6882432992124</v>
      </c>
      <c r="I27" s="18">
        <f ca="1">+D27/'Per Capita Plan Expenditure'!I27</f>
        <v>7468.8899979449843</v>
      </c>
      <c r="J27" s="18">
        <f ca="1">+E27/'Per Capita Plan Expenditure'!J27</f>
        <v>7950.2957717749214</v>
      </c>
      <c r="K27" s="18">
        <f ca="1">+F27/'Per Capita Plan Expenditure'!K27</f>
        <v>9116.5494893383093</v>
      </c>
      <c r="L27" s="18">
        <f ca="1">+G27/'Per Capita Plan Expenditure'!L27</f>
        <v>11801.045916901328</v>
      </c>
      <c r="M27" s="10">
        <f ca="1">+C27/'NON Plan Exp(%GSDP)'!H27*100</f>
        <v>12.966986599368507</v>
      </c>
      <c r="N27" s="10">
        <f ca="1">+D27/'NON Plan Exp(%GSDP)'!I27*100</f>
        <v>12.546061553483279</v>
      </c>
      <c r="O27" s="10">
        <f ca="1">+E27/'NON Plan Exp(%GSDP)'!J27*100</f>
        <v>11.740645749867673</v>
      </c>
      <c r="P27" s="10">
        <f ca="1">+F27/'NON Plan Exp(%GSDP)'!K27*100</f>
        <v>11.375404787777486</v>
      </c>
      <c r="Q27" s="10">
        <f ca="1">+G27/'NON Plan Exp(%GSDP)'!L27*100</f>
        <v>12.571435567949113</v>
      </c>
    </row>
    <row r="28" spans="1:17" ht="19.5" customHeight="1">
      <c r="A28" s="3">
        <v>21</v>
      </c>
      <c r="B28" s="6" t="s">
        <v>36</v>
      </c>
      <c r="C28" s="18">
        <f ca="1">+'NON Plan Exp(%GSDP)'!C28</f>
        <v>19827.599999999999</v>
      </c>
      <c r="D28" s="18">
        <f ca="1">+'NON Plan Exp(%GSDP)'!D28</f>
        <v>23287</v>
      </c>
      <c r="E28" s="18">
        <f ca="1">+'NON Plan Exp(%GSDP)'!E28</f>
        <v>29260.25</v>
      </c>
      <c r="F28" s="18">
        <f ca="1">+'NON Plan Exp(%GSDP)'!F28</f>
        <v>35007.19</v>
      </c>
      <c r="G28" s="18">
        <f ca="1">+'NON Plan Exp(%GSDP)'!G28</f>
        <v>40266.85</v>
      </c>
      <c r="H28" s="18">
        <f ca="1">+C28/'Per Capita Plan Expenditure'!H28</f>
        <v>2884.5599895252917</v>
      </c>
      <c r="I28" s="18">
        <f ca="1">+D28/'Per Capita Plan Expenditure'!I28</f>
        <v>3331.6165214529951</v>
      </c>
      <c r="J28" s="18">
        <f ca="1">+E28/'Per Capita Plan Expenditure'!J28</f>
        <v>4118.2617874736097</v>
      </c>
      <c r="K28" s="18">
        <f ca="1">+F28/'Per Capita Plan Expenditure'!K28</f>
        <v>4848.6412742382272</v>
      </c>
      <c r="L28" s="18">
        <f ca="1">+G28/'Per Capita Plan Expenditure'!L28</f>
        <v>5490.1355257417108</v>
      </c>
      <c r="M28" s="10">
        <f ca="1">+C28/'NON Plan Exp(%GSDP)'!H28*100</f>
        <v>12.278748320215012</v>
      </c>
      <c r="N28" s="10">
        <f ca="1">+D28/'NON Plan Exp(%GSDP)'!I28*100</f>
        <v>11.804274214805654</v>
      </c>
      <c r="O28" s="10">
        <f ca="1">+E28/'NON Plan Exp(%GSDP)'!J28*100</f>
        <v>12.834343638150045</v>
      </c>
      <c r="P28" s="10">
        <f ca="1">+F28/'NON Plan Exp(%GSDP)'!K28*100</f>
        <v>13.443466473120511</v>
      </c>
      <c r="Q28" s="10">
        <f ca="1">+G28/'NON Plan Exp(%GSDP)'!L28*100</f>
        <v>12.767441270566001</v>
      </c>
    </row>
    <row r="29" spans="1:17" ht="19.5" customHeight="1">
      <c r="A29" s="3">
        <v>22</v>
      </c>
      <c r="B29" s="6" t="s">
        <v>37</v>
      </c>
      <c r="C29" s="18">
        <f ca="1">+'NON Plan Exp(%GSDP)'!C29</f>
        <v>57497.03</v>
      </c>
      <c r="D29" s="18">
        <f ca="1">+'NON Plan Exp(%GSDP)'!D29</f>
        <v>70155.199999999997</v>
      </c>
      <c r="E29" s="18">
        <f ca="1">+'NON Plan Exp(%GSDP)'!E29</f>
        <v>81727.02</v>
      </c>
      <c r="F29" s="18">
        <f ca="1">+'NON Plan Exp(%GSDP)'!F29</f>
        <v>92377.05</v>
      </c>
      <c r="G29" s="18">
        <f ca="1">+'NON Plan Exp(%GSDP)'!G29</f>
        <v>98987.15</v>
      </c>
      <c r="H29" s="18">
        <f ca="1">+C29/'Per Capita Plan Expenditure'!H29</f>
        <v>5325.1796762123513</v>
      </c>
      <c r="I29" s="18">
        <f ca="1">+D29/'Per Capita Plan Expenditure'!I29</f>
        <v>6403.7680392138964</v>
      </c>
      <c r="J29" s="18">
        <f ca="1">+E29/'Per Capita Plan Expenditure'!J29</f>
        <v>7354.9757915009268</v>
      </c>
      <c r="K29" s="18">
        <f ca="1">+F29/'Per Capita Plan Expenditure'!K29</f>
        <v>8199.6316350079887</v>
      </c>
      <c r="L29" s="18">
        <f ca="1">+G29/'Per Capita Plan Expenditure'!L29</f>
        <v>8669.0911160933229</v>
      </c>
      <c r="M29" s="10">
        <f ca="1">+C29/'NON Plan Exp(%GSDP)'!H29*100</f>
        <v>8.4678484957378739</v>
      </c>
      <c r="N29" s="10">
        <f ca="1">+D29/'NON Plan Exp(%GSDP)'!I29*100</f>
        <v>9.2756903695986157</v>
      </c>
      <c r="O29" s="10">
        <f ca="1">+E29/'NON Plan Exp(%GSDP)'!J29*100</f>
        <v>9.067380426702762</v>
      </c>
      <c r="P29" s="10">
        <f ca="1">+F29/'NON Plan Exp(%GSDP)'!K29*100</f>
        <v>8.9719469591237946</v>
      </c>
      <c r="Q29" s="10">
        <f ca="1">+G29/'NON Plan Exp(%GSDP)'!L29*100</f>
        <v>8.3865951256542814</v>
      </c>
    </row>
    <row r="30" spans="1:17" ht="19.5" customHeight="1">
      <c r="A30" s="3">
        <v>23</v>
      </c>
      <c r="B30" s="6" t="s">
        <v>104</v>
      </c>
      <c r="C30" s="18">
        <f ca="1">+'NON Plan Exp(%GSDP)'!C30</f>
        <v>13953.48</v>
      </c>
      <c r="D30" s="18">
        <f ca="1">+'NON Plan Exp(%GSDP)'!D30</f>
        <v>16246.1</v>
      </c>
      <c r="E30" s="18">
        <f ca="1">+'NON Plan Exp(%GSDP)'!E30</f>
        <v>20150.41</v>
      </c>
      <c r="F30" s="18">
        <f ca="1">+'NON Plan Exp(%GSDP)'!F30</f>
        <v>22357.51</v>
      </c>
      <c r="G30" s="18">
        <f ca="1">+'NON Plan Exp(%GSDP)'!G30</f>
        <v>27355.65</v>
      </c>
      <c r="H30" s="18">
        <f ca="1">+C30/'Per Capita Plan Expenditure'!H30</f>
        <v>3518.7189509519603</v>
      </c>
      <c r="I30" s="18">
        <f ca="1">+D30/'Per Capita Plan Expenditure'!I30</f>
        <v>4058.9881324172388</v>
      </c>
      <c r="J30" s="18">
        <f ca="1">+E30/'Per Capita Plan Expenditure'!J30</f>
        <v>4989.0836613929532</v>
      </c>
      <c r="K30" s="18">
        <f ca="1">+F30/'Per Capita Plan Expenditure'!K30</f>
        <v>5486.5055214723916</v>
      </c>
      <c r="L30" s="18">
        <f ca="1">+G30/'Per Capita Plan Expenditure'!L30</f>
        <v>6655.0662936382441</v>
      </c>
      <c r="M30" s="10">
        <f ca="1">+C30/'NON Plan Exp(%GSDP)'!H30*100</f>
        <v>10.793724956294382</v>
      </c>
      <c r="N30" s="10">
        <f ca="1">+D30/'NON Plan Exp(%GSDP)'!I30*100</f>
        <v>10.940797758786729</v>
      </c>
      <c r="O30" s="10">
        <f ca="1">+E30/'NON Plan Exp(%GSDP)'!J30*100</f>
        <v>12.307322555229131</v>
      </c>
      <c r="P30" s="10">
        <f ca="1">+F30/'NON Plan Exp(%GSDP)'!K30*100</f>
        <v>11.463743667575937</v>
      </c>
      <c r="Q30" s="10">
        <f ca="1">+G30/'NON Plan Exp(%GSDP)'!L30*100</f>
        <v>12.091643239802686</v>
      </c>
    </row>
    <row r="31" spans="1:17" s="20" customFormat="1" ht="19.5" customHeight="1">
      <c r="A31" s="3">
        <v>24</v>
      </c>
      <c r="B31" s="6" t="s">
        <v>39</v>
      </c>
      <c r="C31" s="18">
        <f ca="1">+'NON Plan Exp(%GSDP)'!C31</f>
        <v>22204.33</v>
      </c>
      <c r="D31" s="18">
        <f ca="1">+'NON Plan Exp(%GSDP)'!D31</f>
        <v>23456.86</v>
      </c>
      <c r="E31" s="18">
        <f ca="1">+'NON Plan Exp(%GSDP)'!E31</f>
        <v>26198.84</v>
      </c>
      <c r="F31" s="18">
        <f ca="1">+'NON Plan Exp(%GSDP)'!F31</f>
        <v>30862.94</v>
      </c>
      <c r="G31" s="18">
        <f ca="1">+'NON Plan Exp(%GSDP)'!G31</f>
        <v>32266.02</v>
      </c>
      <c r="H31" s="18">
        <f ca="1">+C31/'Per Capita Plan Expenditure'!H31</f>
        <v>8309.3817828006886</v>
      </c>
      <c r="I31" s="18">
        <f ca="1">+D31/'Per Capita Plan Expenditure'!I31</f>
        <v>8672.3084886128363</v>
      </c>
      <c r="J31" s="18">
        <f ca="1">+E31/'Per Capita Plan Expenditure'!J31</f>
        <v>9572.8003507746271</v>
      </c>
      <c r="K31" s="18">
        <f ca="1">+F31/'Per Capita Plan Expenditure'!K31</f>
        <v>11150.711756629815</v>
      </c>
      <c r="L31" s="18">
        <f ca="1">+G31/'Per Capita Plan Expenditure'!L31</f>
        <v>11531.403452342662</v>
      </c>
      <c r="M31" s="10">
        <f ca="1">+C31/'NON Plan Exp(%GSDP)'!H31*100</f>
        <v>14.584603763670401</v>
      </c>
      <c r="N31" s="10">
        <f ca="1">+D31/'NON Plan Exp(%GSDP)'!I31*100</f>
        <v>13.477933106947294</v>
      </c>
      <c r="O31" s="10">
        <f ca="1">+E31/'NON Plan Exp(%GSDP)'!J31*100</f>
        <v>13.205526404661455</v>
      </c>
      <c r="P31" s="10">
        <f ca="1">+F31/'NON Plan Exp(%GSDP)'!K31*100</f>
        <v>13.718386487387487</v>
      </c>
      <c r="Q31" s="10">
        <f ca="1">+G31/'NON Plan Exp(%GSDP)'!L31*100</f>
        <v>12.994720117921393</v>
      </c>
    </row>
    <row r="32" spans="1:17" ht="19.5" customHeight="1">
      <c r="A32" s="3">
        <v>25</v>
      </c>
      <c r="B32" s="6" t="s">
        <v>40</v>
      </c>
      <c r="C32" s="18">
        <f ca="1">+'NON Plan Exp(%GSDP)'!C32</f>
        <v>25027.27</v>
      </c>
      <c r="D32" s="18">
        <f ca="1">+'NON Plan Exp(%GSDP)'!D32</f>
        <v>28345.32</v>
      </c>
      <c r="E32" s="18">
        <f ca="1">+'NON Plan Exp(%GSDP)'!E32</f>
        <v>33236.01</v>
      </c>
      <c r="F32" s="18">
        <f ca="1">+'NON Plan Exp(%GSDP)'!F32</f>
        <v>36213.620000000003</v>
      </c>
      <c r="G32" s="18">
        <f ca="1">+'NON Plan Exp(%GSDP)'!G32</f>
        <v>41238.25</v>
      </c>
      <c r="H32" s="18">
        <f ca="1">+C32/'Per Capita Plan Expenditure'!H32</f>
        <v>3878.1526017293208</v>
      </c>
      <c r="I32" s="18">
        <f ca="1">+D32/'Per Capita Plan Expenditure'!I32</f>
        <v>4317.6420411271893</v>
      </c>
      <c r="J32" s="18">
        <f ca="1">+E32/'Per Capita Plan Expenditure'!J32</f>
        <v>4979.1775280898883</v>
      </c>
      <c r="K32" s="18">
        <f ca="1">+F32/'Per Capita Plan Expenditure'!K32</f>
        <v>5338.879551820728</v>
      </c>
      <c r="L32" s="18">
        <f ca="1">+G32/'Per Capita Plan Expenditure'!L32</f>
        <v>5985.9272484468447</v>
      </c>
      <c r="M32" s="10">
        <f ca="1">+C32/'NON Plan Exp(%GSDP)'!H32*100</f>
        <v>12.846223732432682</v>
      </c>
      <c r="N32" s="10">
        <f ca="1">+D32/'NON Plan Exp(%GSDP)'!I32*100</f>
        <v>12.273411012821011</v>
      </c>
      <c r="O32" s="10">
        <f ca="1">+E32/'NON Plan Exp(%GSDP)'!J32*100</f>
        <v>12.624881295155324</v>
      </c>
      <c r="P32" s="10">
        <f ca="1">+F32/'NON Plan Exp(%GSDP)'!K32*100</f>
        <v>11.188024048294315</v>
      </c>
      <c r="Q32" s="10">
        <f ca="1">+G32/'NON Plan Exp(%GSDP)'!L32*100</f>
        <v>11.196310273675065</v>
      </c>
    </row>
    <row r="33" spans="1:17" ht="19.5" customHeight="1">
      <c r="A33" s="3">
        <v>26</v>
      </c>
      <c r="B33" s="6" t="s">
        <v>41</v>
      </c>
      <c r="C33" s="18">
        <f ca="1">+'NON Plan Exp(%GSDP)'!C33</f>
        <v>36363.69</v>
      </c>
      <c r="D33" s="18">
        <f ca="1">+'NON Plan Exp(%GSDP)'!D33</f>
        <v>45005.3</v>
      </c>
      <c r="E33" s="18">
        <f ca="1">+'NON Plan Exp(%GSDP)'!E33</f>
        <v>48407.21</v>
      </c>
      <c r="F33" s="18">
        <f ca="1">+'NON Plan Exp(%GSDP)'!F33</f>
        <v>60826.62</v>
      </c>
      <c r="G33" s="18">
        <f ca="1">+'NON Plan Exp(%GSDP)'!G33</f>
        <v>72287.98</v>
      </c>
      <c r="H33" s="18">
        <f ca="1">+C33/'Per Capita Plan Expenditure'!H33</f>
        <v>5500.8153571536632</v>
      </c>
      <c r="I33" s="18">
        <f ca="1">+D33/'Per Capita Plan Expenditure'!I33</f>
        <v>6761.0041162154857</v>
      </c>
      <c r="J33" s="18">
        <f ca="1">+E33/'Per Capita Plan Expenditure'!J33</f>
        <v>7223.6629260430964</v>
      </c>
      <c r="K33" s="18">
        <f ca="1">+F33/'Per Capita Plan Expenditure'!K33</f>
        <v>9018.8334025265412</v>
      </c>
      <c r="L33" s="18">
        <f ca="1">+G33/'Per Capita Plan Expenditure'!L33</f>
        <v>10652.2030002063</v>
      </c>
      <c r="M33" s="10">
        <f ca="1">+C33/'NON Plan Exp(%GSDP)'!H33*100</f>
        <v>10.365370746738348</v>
      </c>
      <c r="N33" s="10">
        <f ca="1">+D33/'NON Plan Exp(%GSDP)'!I33*100</f>
        <v>11.213870671955668</v>
      </c>
      <c r="O33" s="10">
        <f ca="1">+E33/'NON Plan Exp(%GSDP)'!J33*100</f>
        <v>10.090721670974736</v>
      </c>
      <c r="P33" s="10">
        <f ca="1">+F33/'NON Plan Exp(%GSDP)'!K33*100</f>
        <v>10.738746023282994</v>
      </c>
      <c r="Q33" s="10">
        <f ca="1">+G33/'NON Plan Exp(%GSDP)'!L33*100</f>
        <v>11.312230350925237</v>
      </c>
    </row>
    <row r="34" spans="1:17" ht="19.5" customHeight="1">
      <c r="A34" s="3">
        <v>27</v>
      </c>
      <c r="B34" s="6" t="s">
        <v>42</v>
      </c>
      <c r="C34" s="18">
        <f ca="1">+'NON Plan Exp(%GSDP)'!C34</f>
        <v>57084</v>
      </c>
      <c r="D34" s="18">
        <f ca="1">+'NON Plan Exp(%GSDP)'!D34</f>
        <v>63352</v>
      </c>
      <c r="E34" s="18">
        <f ca="1">+'NON Plan Exp(%GSDP)'!E34</f>
        <v>80101.8</v>
      </c>
      <c r="F34" s="18">
        <f ca="1">+'NON Plan Exp(%GSDP)'!F34</f>
        <v>87678.74</v>
      </c>
      <c r="G34" s="18">
        <f ca="1">+'NON Plan Exp(%GSDP)'!G34</f>
        <v>104880.98</v>
      </c>
      <c r="H34" s="18">
        <f ca="1">+C34/'Per Capita Plan Expenditure'!H34</f>
        <v>3000.4099782396165</v>
      </c>
      <c r="I34" s="18">
        <f ca="1">+D34/'Per Capita Plan Expenditure'!I34</f>
        <v>3269.5612681471694</v>
      </c>
      <c r="J34" s="18">
        <f ca="1">+E34/'Per Capita Plan Expenditure'!J34</f>
        <v>4060.4954605593321</v>
      </c>
      <c r="K34" s="18">
        <f ca="1">+F34/'Per Capita Plan Expenditure'!K34</f>
        <v>4367.2540893785745</v>
      </c>
      <c r="L34" s="18">
        <f ca="1">+G34/'Per Capita Plan Expenditure'!L34</f>
        <v>5134.9317013463888</v>
      </c>
      <c r="M34" s="10">
        <f ca="1">+C34/'NON Plan Exp(%GSDP)'!H34*100</f>
        <v>14.903426921410034</v>
      </c>
      <c r="N34" s="10">
        <f ca="1">+D34/'NON Plan Exp(%GSDP)'!I34*100</f>
        <v>14.246489087781239</v>
      </c>
      <c r="O34" s="10">
        <f ca="1">+E34/'NON Plan Exp(%GSDP)'!J34*100</f>
        <v>15.310181902280803</v>
      </c>
      <c r="P34" s="10">
        <f ca="1">+F34/'NON Plan Exp(%GSDP)'!K34*100</f>
        <v>14.487109624780453</v>
      </c>
      <c r="Q34" s="10">
        <f ca="1">+G34/'NON Plan Exp(%GSDP)'!L34*100</f>
        <v>15.247963177269</v>
      </c>
    </row>
    <row r="35" spans="1:17" ht="19.5" customHeight="1">
      <c r="A35" s="3">
        <v>28</v>
      </c>
      <c r="B35" s="6" t="s">
        <v>43</v>
      </c>
      <c r="C35" s="18">
        <f ca="1">+'NON Plan Exp(%GSDP)'!C35</f>
        <v>31629.09</v>
      </c>
      <c r="D35" s="18">
        <f ca="1">+'NON Plan Exp(%GSDP)'!D35</f>
        <v>43608.75</v>
      </c>
      <c r="E35" s="18">
        <f ca="1">+'NON Plan Exp(%GSDP)'!E35</f>
        <v>48102.07</v>
      </c>
      <c r="F35" s="18">
        <f ca="1">+'NON Plan Exp(%GSDP)'!F35</f>
        <v>52555.85</v>
      </c>
      <c r="G35" s="18">
        <f ca="1">+'NON Plan Exp(%GSDP)'!G35</f>
        <v>56491.42</v>
      </c>
      <c r="H35" s="18">
        <f ca="1">+C35/'Per Capita Plan Expenditure'!H35</f>
        <v>3635.7365365825622</v>
      </c>
      <c r="I35" s="18">
        <f ca="1">+D35/'Per Capita Plan Expenditure'!I35</f>
        <v>4964.6227757601982</v>
      </c>
      <c r="J35" s="18">
        <f ca="1">+E35/'Per Capita Plan Expenditure'!J35</f>
        <v>5424.9027281236968</v>
      </c>
      <c r="K35" s="18">
        <f ca="1">+F35/'Per Capita Plan Expenditure'!K35</f>
        <v>5872.2276226550021</v>
      </c>
      <c r="L35" s="18">
        <f ca="1">+G35/'Per Capita Plan Expenditure'!L35</f>
        <v>6254.5859167404778</v>
      </c>
      <c r="M35" s="10">
        <f ca="1">+C35/'NON Plan Exp(%GSDP)'!H35*100</f>
        <v>10.561230520597162</v>
      </c>
      <c r="N35" s="10">
        <f ca="1">+D35/'NON Plan Exp(%GSDP)'!I35*100</f>
        <v>12.753259324680794</v>
      </c>
      <c r="O35" s="10">
        <f ca="1">+E35/'NON Plan Exp(%GSDP)'!J35*100</f>
        <v>12.057681365041248</v>
      </c>
      <c r="P35" s="10">
        <f ca="1">+F35/'NON Plan Exp(%GSDP)'!K35*100</f>
        <v>11.243793068775258</v>
      </c>
      <c r="Q35" s="10">
        <f ca="1">+G35/'NON Plan Exp(%GSDP)'!L35*100</f>
        <v>10.430738608457382</v>
      </c>
    </row>
    <row r="36" spans="1:17" s="87" customFormat="1" ht="19.5" customHeight="1">
      <c r="A36" s="84"/>
      <c r="B36" s="4" t="s">
        <v>44</v>
      </c>
      <c r="C36" s="86">
        <f ca="1">SUM(C19:C35)</f>
        <v>433136.76000000007</v>
      </c>
      <c r="D36" s="86">
        <f ca="1">SUM(D19:D35)</f>
        <v>499939.94</v>
      </c>
      <c r="E36" s="78">
        <f ca="1">SUM(E19:E35)</f>
        <v>582723.4</v>
      </c>
      <c r="F36" s="78">
        <f ca="1">SUM(F19:F35)</f>
        <v>664077.55999999994</v>
      </c>
      <c r="G36" s="78">
        <f ca="1">SUM(G19:G35)</f>
        <v>765221.64</v>
      </c>
      <c r="H36" s="78">
        <f ca="1">+C36/'Per Capita Plan Expenditure'!H36</f>
        <v>4108.7630362234841</v>
      </c>
      <c r="I36" s="78">
        <f ca="1">+D36/'Per Capita Plan Expenditure'!I36</f>
        <v>4678.0807458879408</v>
      </c>
      <c r="J36" s="78">
        <f ca="1">+E36/'Per Capita Plan Expenditure'!J36</f>
        <v>5380.4619606365814</v>
      </c>
      <c r="K36" s="78">
        <f ca="1">+F36/'Per Capita Plan Expenditure'!K36</f>
        <v>6052.3757357243503</v>
      </c>
      <c r="L36" s="78">
        <f ca="1">+G36/'Per Capita Plan Expenditure'!L36</f>
        <v>6886.2145518912721</v>
      </c>
      <c r="M36" s="42">
        <f ca="1">+C36/'NON Plan Exp(%GSDP)'!H36*100</f>
        <v>10.995933804562153</v>
      </c>
      <c r="N36" s="42">
        <f ca="1">+D36/'NON Plan Exp(%GSDP)'!I36*100</f>
        <v>11.017319102535962</v>
      </c>
      <c r="O36" s="42">
        <f ca="1">+E36/'NON Plan Exp(%GSDP)'!J36*100</f>
        <v>11.076755391836606</v>
      </c>
      <c r="P36" s="42">
        <f ca="1">+F36/'NON Plan Exp(%GSDP)'!K36*100</f>
        <v>10.740817309846253</v>
      </c>
      <c r="Q36" s="42">
        <f ca="1">+G36/'NON Plan Exp(%GSDP)'!L36*100</f>
        <v>10.73720238150602</v>
      </c>
    </row>
    <row r="37" spans="1:17" ht="19.5" customHeight="1">
      <c r="A37" s="3"/>
      <c r="B37" s="4" t="s">
        <v>45</v>
      </c>
      <c r="C37" s="86"/>
      <c r="D37" s="86"/>
      <c r="E37" s="78"/>
      <c r="F37" s="78"/>
      <c r="G37" s="78"/>
      <c r="H37" s="18"/>
      <c r="I37" s="18"/>
      <c r="J37" s="18"/>
      <c r="K37" s="18"/>
      <c r="L37" s="18"/>
      <c r="M37" s="10"/>
      <c r="N37" s="10"/>
      <c r="O37" s="10"/>
      <c r="P37" s="10"/>
      <c r="Q37" s="10"/>
    </row>
    <row r="38" spans="1:17" ht="19.5" customHeight="1">
      <c r="A38" s="3">
        <v>29</v>
      </c>
      <c r="B38" s="6" t="s">
        <v>46</v>
      </c>
      <c r="C38" s="18">
        <f ca="1">+'NON Plan Exp(%GSDP)'!C38</f>
        <v>9374.59</v>
      </c>
      <c r="D38" s="18">
        <f ca="1">+'NON Plan Exp(%GSDP)'!D38</f>
        <v>10725.97</v>
      </c>
      <c r="E38" s="18">
        <f ca="1">+'NON Plan Exp(%GSDP)'!E38</f>
        <v>13797.68</v>
      </c>
      <c r="F38" s="18">
        <f ca="1">+'NON Plan Exp(%GSDP)'!F38</f>
        <v>14980.06</v>
      </c>
      <c r="G38" s="18">
        <f ca="1">+'NON Plan Exp(%GSDP)'!G38</f>
        <v>13570</v>
      </c>
      <c r="H38" s="18">
        <f ca="1">+C38/'Per Capita Plan Expenditure'!H38</f>
        <v>5529.1005603066942</v>
      </c>
      <c r="I38" s="18">
        <f ca="1">+D38/'Per Capita Plan Expenditure'!I38</f>
        <v>6151.270287320066</v>
      </c>
      <c r="J38" s="18">
        <f ca="1">+E38/'Per Capita Plan Expenditure'!J38</f>
        <v>7693.1586283802617</v>
      </c>
      <c r="K38" s="18">
        <f ca="1">+F38/'Per Capita Plan Expenditure'!K38</f>
        <v>8118.833667551894</v>
      </c>
      <c r="L38" s="18">
        <f ca="1">+G38/'Per Capita Plan Expenditure'!L38</f>
        <v>7148.5012906284564</v>
      </c>
      <c r="M38" s="10">
        <f ca="1">+C38/'NON Plan Exp(%GSDP)'!H38*100</f>
        <v>5.935275757057747</v>
      </c>
      <c r="N38" s="10">
        <f ca="1">+D38/'NON Plan Exp(%GSDP)'!I38*100</f>
        <v>5.6591569805785795</v>
      </c>
      <c r="O38" s="10">
        <f ca="1">+E38/'NON Plan Exp(%GSDP)'!J38*100</f>
        <v>6.1663128633932045</v>
      </c>
      <c r="P38" s="10">
        <f ca="1">+F38/'NON Plan Exp(%GSDP)'!K38*100</f>
        <v>5.6636244026374687</v>
      </c>
      <c r="Q38" s="10">
        <f ca="1">+G38/'NON Plan Exp(%GSDP)'!L38*100</f>
        <v>4.3225646154924284</v>
      </c>
    </row>
    <row r="39" spans="1:17" ht="19.5" customHeight="1">
      <c r="A39" s="3">
        <v>30</v>
      </c>
      <c r="B39" s="6" t="s">
        <v>47</v>
      </c>
      <c r="C39" s="18">
        <f ca="1">+'NON Plan Exp(%GSDP)'!C39</f>
        <v>1483</v>
      </c>
      <c r="D39" s="18">
        <f ca="1">+'NON Plan Exp(%GSDP)'!D39</f>
        <v>1880</v>
      </c>
      <c r="E39" s="18">
        <f ca="1">+'NON Plan Exp(%GSDP)'!E39</f>
        <v>2120</v>
      </c>
      <c r="F39" s="18">
        <f ca="1">+'NON Plan Exp(%GSDP)'!F39</f>
        <v>2484</v>
      </c>
      <c r="G39" s="18">
        <f ca="1">+'NON Plan Exp(%GSDP)'!G39</f>
        <v>2019</v>
      </c>
      <c r="H39" s="18">
        <f ca="1">+C39/'Per Capita Plan Expenditure'!H39</f>
        <v>12317.275747508307</v>
      </c>
      <c r="I39" s="18">
        <f ca="1">+D39/'Per Capita Plan Expenditure'!I39</f>
        <v>14838.200473559589</v>
      </c>
      <c r="J39" s="18">
        <f ca="1">+E39/'Per Capita Plan Expenditure'!J39</f>
        <v>15927.873779113448</v>
      </c>
      <c r="K39" s="18">
        <f ca="1">+F39/'Per Capita Plan Expenditure'!K39</f>
        <v>17857.65636232926</v>
      </c>
      <c r="L39" s="18">
        <f ca="1">+G39/'Per Capita Plan Expenditure'!L39</f>
        <v>13914.541695382493</v>
      </c>
      <c r="M39" s="10">
        <f ca="1">+C39/'NON Plan Exp(%GSDP)'!H39*100</f>
        <v>16.030699383850394</v>
      </c>
      <c r="N39" s="10">
        <f ca="1">+D39/'NON Plan Exp(%GSDP)'!I39*100</f>
        <v>18.706467661691541</v>
      </c>
      <c r="O39" s="10">
        <f ca="1">+E39/'NON Plan Exp(%GSDP)'!J39*100</f>
        <v>18.68829337094499</v>
      </c>
      <c r="P39" s="10">
        <f ca="1">+F39/'NON Plan Exp(%GSDP)'!K39*100</f>
        <v>19.212622785984994</v>
      </c>
      <c r="Q39" s="10">
        <f ca="1">+G39/'NON Plan Exp(%GSDP)'!L39*100</f>
        <v>14.711454386476246</v>
      </c>
    </row>
    <row r="40" spans="1:17" s="87" customFormat="1" ht="19.5" customHeight="1">
      <c r="A40" s="84"/>
      <c r="B40" s="4" t="s">
        <v>113</v>
      </c>
      <c r="C40" s="86">
        <f>SUM(C38:C39)</f>
        <v>10857.59</v>
      </c>
      <c r="D40" s="86">
        <f>SUM(D38:D39)</f>
        <v>12605.97</v>
      </c>
      <c r="E40" s="78">
        <f>SUM(E38:E39)</f>
        <v>15917.68</v>
      </c>
      <c r="F40" s="78">
        <f>SUM(F38:F39)</f>
        <v>17464.059999999998</v>
      </c>
      <c r="G40" s="78">
        <f>SUM(G38:G39)</f>
        <v>15589</v>
      </c>
      <c r="H40" s="78">
        <f ca="1">+C40/'Per Capita Plan Expenditure'!H40</f>
        <v>5979.1783688529104</v>
      </c>
      <c r="I40" s="78">
        <f ca="1">+D40/'Per Capita Plan Expenditure'!I40</f>
        <v>6739.7187767322494</v>
      </c>
      <c r="J40" s="78">
        <f ca="1">+E40/'Per Capita Plan Expenditure'!J40</f>
        <v>8262.0575106405067</v>
      </c>
      <c r="K40" s="78">
        <f ca="1">+F40/'Per Capita Plan Expenditure'!K40</f>
        <v>8801.5623425057947</v>
      </c>
      <c r="L40" s="78">
        <f ca="1">+G40/'Per Capita Plan Expenditure'!L40</f>
        <v>7628.9517470881856</v>
      </c>
      <c r="M40" s="42">
        <f ca="1">+C40/'NON Plan Exp(%GSDP)'!H40*100</f>
        <v>6.4938516010957068</v>
      </c>
      <c r="N40" s="42">
        <f ca="1">+D40/'NON Plan Exp(%GSDP)'!I40*100</f>
        <v>6.3161541814683613</v>
      </c>
      <c r="O40" s="42">
        <f ca="1">+E40/'NON Plan Exp(%GSDP)'!J40*100</f>
        <v>6.7705133494681062</v>
      </c>
      <c r="P40" s="42">
        <f ca="1">+F40/'NON Plan Exp(%GSDP)'!K40*100</f>
        <v>6.2950563215283406</v>
      </c>
      <c r="Q40" s="42">
        <f ca="1">+G40/'NON Plan Exp(%GSDP)'!L40*100</f>
        <v>4.7577046798796303</v>
      </c>
    </row>
    <row r="41" spans="1:17" s="87" customFormat="1" ht="6.75" customHeight="1">
      <c r="A41" s="84"/>
      <c r="B41" s="4"/>
      <c r="C41" s="86"/>
      <c r="D41" s="86"/>
      <c r="E41" s="78"/>
      <c r="F41" s="78"/>
      <c r="G41" s="78"/>
      <c r="H41" s="18"/>
      <c r="I41" s="18"/>
      <c r="J41" s="18"/>
      <c r="K41" s="18"/>
      <c r="L41" s="18"/>
      <c r="M41" s="10"/>
      <c r="N41" s="10"/>
      <c r="O41" s="10"/>
      <c r="P41" s="10"/>
      <c r="Q41" s="10"/>
    </row>
    <row r="42" spans="1:17" s="87" customFormat="1">
      <c r="A42" s="84"/>
      <c r="B42" s="4" t="s">
        <v>49</v>
      </c>
      <c r="C42" s="86">
        <f>+C17+C36+C40</f>
        <v>491307.3000000001</v>
      </c>
      <c r="D42" s="86">
        <f>+D17+D36+D40</f>
        <v>568043.6</v>
      </c>
      <c r="E42" s="78">
        <f>+E17+E36+E40</f>
        <v>665554.29</v>
      </c>
      <c r="F42" s="78">
        <f>+F17+F36+F40</f>
        <v>761242.78</v>
      </c>
      <c r="G42" s="78">
        <f>+G17+G36+G40</f>
        <v>873429.63</v>
      </c>
      <c r="H42" s="78">
        <f ca="1">+C42/'Per Capita Plan Expenditure'!H42</f>
        <v>4300.4709177644536</v>
      </c>
      <c r="I42" s="78">
        <f ca="1">+D42/'Per Capita Plan Expenditure'!I42</f>
        <v>4903.6532002082158</v>
      </c>
      <c r="J42" s="78">
        <f ca="1">+E42/'Per Capita Plan Expenditure'!J42</f>
        <v>5668.0399719644402</v>
      </c>
      <c r="K42" s="78">
        <f ca="1">+F42/'Per Capita Plan Expenditure'!K42</f>
        <v>6397.6755522013264</v>
      </c>
      <c r="L42" s="78">
        <f ca="1">+G42/'Per Capita Plan Expenditure'!L42</f>
        <v>7246.1356775039767</v>
      </c>
      <c r="M42" s="42">
        <f ca="1">+C42/'NON Plan Exp(%GSDP)'!H42*100</f>
        <v>11.315811475347539</v>
      </c>
      <c r="N42" s="42">
        <f ca="1">+D42/'NON Plan Exp(%GSDP)'!I42*100</f>
        <v>11.329688166291101</v>
      </c>
      <c r="O42" s="42">
        <f ca="1">+E42/'NON Plan Exp(%GSDP)'!J42*100</f>
        <v>11.432892505736165</v>
      </c>
      <c r="P42" s="42">
        <f ca="1">+F42/'NON Plan Exp(%GSDP)'!K42*100</f>
        <v>11.143113183339143</v>
      </c>
      <c r="Q42" s="42">
        <f ca="1">+G42/'NON Plan Exp(%GSDP)'!L42*100</f>
        <v>11.092037574647451</v>
      </c>
    </row>
    <row r="43" spans="1:17">
      <c r="A43" s="95"/>
      <c r="B43" s="23" t="s">
        <v>50</v>
      </c>
      <c r="C43" s="287"/>
      <c r="D43" s="287"/>
      <c r="E43" s="288"/>
      <c r="F43" s="288"/>
      <c r="G43" s="24" t="s">
        <v>324</v>
      </c>
      <c r="H43" s="24"/>
      <c r="I43" s="24"/>
      <c r="J43" s="24"/>
      <c r="K43" s="24"/>
      <c r="L43" s="24"/>
      <c r="M43" s="29"/>
      <c r="N43" s="29"/>
    </row>
  </sheetData>
  <mergeCells count="7">
    <mergeCell ref="A1:Q1"/>
    <mergeCell ref="A2:A4"/>
    <mergeCell ref="B2:B3"/>
    <mergeCell ref="C2:G2"/>
    <mergeCell ref="H2:L2"/>
    <mergeCell ref="M2:Q2"/>
    <mergeCell ref="H4:L4"/>
  </mergeCells>
  <phoneticPr fontId="63" type="noConversion"/>
  <printOptions horizontalCentered="1"/>
  <pageMargins left="0.35433070866141736" right="0.15748031496062992" top="0.78740157480314965" bottom="0.31496062992125984" header="0" footer="0"/>
  <pageSetup paperSize="9" scale="63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53"/>
  <sheetViews>
    <sheetView view="pageBreakPreview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5.28515625" style="161" customWidth="1"/>
    <col min="2" max="2" width="26.42578125" style="153" customWidth="1"/>
    <col min="3" max="3" width="13.7109375" style="153" customWidth="1"/>
    <col min="4" max="9" width="12" style="153" customWidth="1"/>
    <col min="10" max="10" width="13" style="153" customWidth="1"/>
    <col min="11" max="14" width="12" style="153" customWidth="1"/>
    <col min="15" max="15" width="13.28515625" style="153" customWidth="1"/>
    <col min="16" max="16" width="12.140625" style="153" customWidth="1"/>
    <col min="17" max="16384" width="9.140625" style="153"/>
  </cols>
  <sheetData>
    <row r="1" spans="1:16" ht="26.25" customHeight="1">
      <c r="A1" s="530" t="s">
        <v>166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242" t="s">
        <v>128</v>
      </c>
    </row>
    <row r="2" spans="1:16" s="235" customFormat="1" ht="29.25" customHeight="1">
      <c r="A2" s="534" t="s">
        <v>99</v>
      </c>
      <c r="B2" s="533" t="s">
        <v>167</v>
      </c>
      <c r="C2" s="154" t="s">
        <v>156</v>
      </c>
      <c r="D2" s="532" t="s">
        <v>131</v>
      </c>
      <c r="E2" s="532"/>
      <c r="F2" s="532"/>
      <c r="G2" s="532"/>
      <c r="H2" s="532"/>
      <c r="I2" s="532"/>
      <c r="J2" s="532" t="s">
        <v>132</v>
      </c>
      <c r="K2" s="532"/>
      <c r="L2" s="532"/>
      <c r="M2" s="532"/>
      <c r="N2" s="532"/>
      <c r="O2" s="532"/>
      <c r="P2" s="527" t="s">
        <v>158</v>
      </c>
    </row>
    <row r="3" spans="1:16" s="155" customFormat="1" ht="18.75" customHeight="1">
      <c r="A3" s="534"/>
      <c r="B3" s="533"/>
      <c r="C3" s="219" t="s">
        <v>130</v>
      </c>
      <c r="D3" s="156" t="s">
        <v>55</v>
      </c>
      <c r="E3" s="156" t="s">
        <v>56</v>
      </c>
      <c r="F3" s="156" t="s">
        <v>7</v>
      </c>
      <c r="G3" s="156" t="s">
        <v>8</v>
      </c>
      <c r="H3" s="156" t="s">
        <v>9</v>
      </c>
      <c r="I3" s="224" t="s">
        <v>130</v>
      </c>
      <c r="J3" s="156" t="s">
        <v>55</v>
      </c>
      <c r="K3" s="156" t="s">
        <v>56</v>
      </c>
      <c r="L3" s="156" t="s">
        <v>7</v>
      </c>
      <c r="M3" s="156" t="s">
        <v>8</v>
      </c>
      <c r="N3" s="156" t="s">
        <v>9</v>
      </c>
      <c r="O3" s="229" t="s">
        <v>130</v>
      </c>
      <c r="P3" s="527"/>
    </row>
    <row r="4" spans="1:16" s="155" customFormat="1" ht="24" customHeight="1">
      <c r="A4" s="157"/>
      <c r="B4" s="157"/>
      <c r="C4" s="219" t="s">
        <v>157</v>
      </c>
      <c r="D4" s="154" t="s">
        <v>10</v>
      </c>
      <c r="E4" s="154" t="s">
        <v>10</v>
      </c>
      <c r="F4" s="154" t="s">
        <v>10</v>
      </c>
      <c r="G4" s="154" t="s">
        <v>133</v>
      </c>
      <c r="H4" s="154" t="s">
        <v>134</v>
      </c>
      <c r="I4" s="225" t="s">
        <v>136</v>
      </c>
      <c r="J4" s="154" t="s">
        <v>10</v>
      </c>
      <c r="K4" s="154" t="s">
        <v>10</v>
      </c>
      <c r="L4" s="154" t="s">
        <v>10</v>
      </c>
      <c r="M4" s="154" t="s">
        <v>133</v>
      </c>
      <c r="N4" s="154" t="s">
        <v>134</v>
      </c>
      <c r="O4" s="230" t="s">
        <v>136</v>
      </c>
      <c r="P4" s="413" t="s">
        <v>165</v>
      </c>
    </row>
    <row r="5" spans="1:16" ht="15.75">
      <c r="A5" s="163" t="s">
        <v>137</v>
      </c>
      <c r="B5" s="164" t="s">
        <v>141</v>
      </c>
      <c r="C5" s="220"/>
      <c r="D5" s="170"/>
      <c r="E5" s="170"/>
      <c r="F5" s="170"/>
      <c r="G5" s="170"/>
      <c r="H5" s="170"/>
      <c r="I5" s="227"/>
      <c r="J5" s="170"/>
      <c r="K5" s="170"/>
      <c r="L5" s="170"/>
      <c r="M5" s="170"/>
      <c r="N5" s="170"/>
      <c r="O5" s="231"/>
      <c r="P5" s="233"/>
    </row>
    <row r="6" spans="1:16" ht="15.75">
      <c r="A6" s="165">
        <v>1</v>
      </c>
      <c r="B6" s="166" t="s">
        <v>14</v>
      </c>
      <c r="C6" s="222">
        <v>7901</v>
      </c>
      <c r="D6" s="170">
        <v>1470.0500000000002</v>
      </c>
      <c r="E6" s="170">
        <v>2099.54</v>
      </c>
      <c r="F6" s="170">
        <v>2119.0700000000002</v>
      </c>
      <c r="G6" s="170">
        <v>2035.57</v>
      </c>
      <c r="H6" s="170">
        <v>2640.4900000000002</v>
      </c>
      <c r="I6" s="227">
        <f t="shared" ref="I6:I17" si="0">SUM(D6:H6)</f>
        <v>10364.719999999999</v>
      </c>
      <c r="J6" s="170">
        <v>1390.0358469454204</v>
      </c>
      <c r="K6" s="170">
        <v>1826.9631689627445</v>
      </c>
      <c r="L6" s="170">
        <v>1740.1649261764787</v>
      </c>
      <c r="M6" s="170">
        <v>1540.9167492124848</v>
      </c>
      <c r="N6" s="170">
        <v>1850.8823490340437</v>
      </c>
      <c r="O6" s="231">
        <v>8348.963040331173</v>
      </c>
      <c r="P6" s="234">
        <f t="shared" ref="P6:P17" si="1">+O6/C6*100</f>
        <v>105.66970054842643</v>
      </c>
    </row>
    <row r="7" spans="1:16" ht="15.75">
      <c r="A7" s="165">
        <v>2</v>
      </c>
      <c r="B7" s="166" t="s">
        <v>15</v>
      </c>
      <c r="C7" s="222">
        <v>23954</v>
      </c>
      <c r="D7" s="170">
        <v>4489.7699999999977</v>
      </c>
      <c r="E7" s="170">
        <v>7063.3</v>
      </c>
      <c r="F7" s="170">
        <v>6257.7899999999981</v>
      </c>
      <c r="G7" s="170">
        <v>7645.0000000000018</v>
      </c>
      <c r="H7" s="170">
        <v>9000.0038319999985</v>
      </c>
      <c r="I7" s="227">
        <f t="shared" si="0"/>
        <v>34455.863832000003</v>
      </c>
      <c r="J7" s="170">
        <v>4245.3938604402138</v>
      </c>
      <c r="K7" s="170">
        <v>6146.2934506294496</v>
      </c>
      <c r="L7" s="170">
        <v>5138.8517950694895</v>
      </c>
      <c r="M7" s="170">
        <v>5787.2284164776693</v>
      </c>
      <c r="N7" s="170">
        <v>6308.6579513225006</v>
      </c>
      <c r="O7" s="231">
        <v>27626.425473939322</v>
      </c>
      <c r="P7" s="234">
        <f t="shared" si="1"/>
        <v>115.33115752667329</v>
      </c>
    </row>
    <row r="8" spans="1:16" ht="15.75">
      <c r="A8" s="165">
        <v>3</v>
      </c>
      <c r="B8" s="166" t="s">
        <v>16</v>
      </c>
      <c r="C8" s="222">
        <v>13778</v>
      </c>
      <c r="D8" s="170">
        <v>2764.6800000000003</v>
      </c>
      <c r="E8" s="170">
        <v>1979.6299999999999</v>
      </c>
      <c r="F8" s="170">
        <v>2227.7999999999997</v>
      </c>
      <c r="G8" s="170">
        <v>3037.2200000000003</v>
      </c>
      <c r="H8" s="170">
        <v>3300</v>
      </c>
      <c r="I8" s="227">
        <f t="shared" si="0"/>
        <v>13309.330000000002</v>
      </c>
      <c r="J8" s="170">
        <v>2614.1997247257336</v>
      </c>
      <c r="K8" s="170">
        <v>1722.6207160490953</v>
      </c>
      <c r="L8" s="170">
        <v>1829.4532141627972</v>
      </c>
      <c r="M8" s="170">
        <v>2299.1610060293401</v>
      </c>
      <c r="N8" s="170">
        <v>2313.1735972536703</v>
      </c>
      <c r="O8" s="231">
        <v>10778.608258220636</v>
      </c>
      <c r="P8" s="234">
        <f t="shared" si="1"/>
        <v>78.230572348821568</v>
      </c>
    </row>
    <row r="9" spans="1:16" ht="15.75">
      <c r="A9" s="165">
        <v>4</v>
      </c>
      <c r="B9" s="166" t="s">
        <v>142</v>
      </c>
      <c r="C9" s="222">
        <v>25834</v>
      </c>
      <c r="D9" s="170">
        <v>4164.4499999999989</v>
      </c>
      <c r="E9" s="170">
        <v>5006.1499999999996</v>
      </c>
      <c r="F9" s="170">
        <v>6688.4100000000008</v>
      </c>
      <c r="G9" s="170">
        <v>5768.0499999999993</v>
      </c>
      <c r="H9" s="170">
        <v>4773.3200000000033</v>
      </c>
      <c r="I9" s="227">
        <f t="shared" si="0"/>
        <v>26400.38</v>
      </c>
      <c r="J9" s="170">
        <v>3937.7808801141823</v>
      </c>
      <c r="K9" s="170">
        <v>4356.2169181358022</v>
      </c>
      <c r="L9" s="170">
        <v>5492.4738181787407</v>
      </c>
      <c r="M9" s="170">
        <v>4366.3862482228915</v>
      </c>
      <c r="N9" s="170">
        <v>3345.9144834069384</v>
      </c>
      <c r="O9" s="231">
        <v>21498.772348058552</v>
      </c>
      <c r="P9" s="234">
        <f t="shared" si="1"/>
        <v>83.218906665861084</v>
      </c>
    </row>
    <row r="10" spans="1:16" ht="15.75">
      <c r="A10" s="165">
        <v>5</v>
      </c>
      <c r="B10" s="166" t="s">
        <v>18</v>
      </c>
      <c r="C10" s="222">
        <v>8154</v>
      </c>
      <c r="D10" s="170">
        <v>1303.8399999999997</v>
      </c>
      <c r="E10" s="170">
        <v>1602.1100000000026</v>
      </c>
      <c r="F10" s="170">
        <v>1853.260000000002</v>
      </c>
      <c r="G10" s="170">
        <v>2834.4699999999993</v>
      </c>
      <c r="H10" s="170">
        <v>2256.4539000113386</v>
      </c>
      <c r="I10" s="227">
        <f t="shared" si="0"/>
        <v>9850.1339000113421</v>
      </c>
      <c r="J10" s="170">
        <v>1232.8725816681856</v>
      </c>
      <c r="K10" s="170">
        <v>1394.1129783795056</v>
      </c>
      <c r="L10" s="170">
        <v>1521.8836806173579</v>
      </c>
      <c r="M10" s="170">
        <v>2145.6802262463639</v>
      </c>
      <c r="N10" s="170">
        <v>1581.6877530079703</v>
      </c>
      <c r="O10" s="231">
        <v>7876.2372199193824</v>
      </c>
      <c r="P10" s="234">
        <f t="shared" si="1"/>
        <v>96.593539611471456</v>
      </c>
    </row>
    <row r="11" spans="1:16" ht="15.75">
      <c r="A11" s="165">
        <v>6</v>
      </c>
      <c r="B11" s="166" t="s">
        <v>19</v>
      </c>
      <c r="C11" s="222">
        <v>9185</v>
      </c>
      <c r="D11" s="170">
        <v>860.77</v>
      </c>
      <c r="E11" s="170">
        <v>1291.1100000000001</v>
      </c>
      <c r="F11" s="170">
        <v>1353.24</v>
      </c>
      <c r="G11" s="170">
        <v>849.34</v>
      </c>
      <c r="H11" s="170">
        <v>2727</v>
      </c>
      <c r="I11" s="227">
        <f t="shared" si="0"/>
        <v>7081.46</v>
      </c>
      <c r="J11" s="170">
        <v>813.91868030013211</v>
      </c>
      <c r="K11" s="170">
        <v>1123.4891533762107</v>
      </c>
      <c r="L11" s="170">
        <v>1111.2708804801437</v>
      </c>
      <c r="M11" s="170">
        <v>642.94631566398198</v>
      </c>
      <c r="N11" s="170">
        <v>1911.5225453668966</v>
      </c>
      <c r="O11" s="231">
        <v>5603.147575187365</v>
      </c>
      <c r="P11" s="234">
        <f t="shared" si="1"/>
        <v>61.003239795180896</v>
      </c>
    </row>
    <row r="12" spans="1:16" ht="15.75">
      <c r="A12" s="165">
        <v>7</v>
      </c>
      <c r="B12" s="166" t="s">
        <v>20</v>
      </c>
      <c r="C12" s="222">
        <v>5534</v>
      </c>
      <c r="D12" s="170">
        <v>1042.17</v>
      </c>
      <c r="E12" s="170">
        <v>849.63999999999987</v>
      </c>
      <c r="F12" s="170">
        <v>932.12</v>
      </c>
      <c r="G12" s="170">
        <v>1264.26</v>
      </c>
      <c r="H12" s="170">
        <v>1573.6699999999998</v>
      </c>
      <c r="I12" s="227">
        <f t="shared" si="0"/>
        <v>5661.86</v>
      </c>
      <c r="J12" s="170">
        <v>985.44516078440097</v>
      </c>
      <c r="K12" s="170">
        <v>739.33384783214706</v>
      </c>
      <c r="L12" s="170">
        <v>765.45018852025623</v>
      </c>
      <c r="M12" s="170">
        <v>957.03877015252533</v>
      </c>
      <c r="N12" s="170">
        <v>1103.0823923606615</v>
      </c>
      <c r="O12" s="231">
        <v>4550.3503596499904</v>
      </c>
      <c r="P12" s="234">
        <f t="shared" si="1"/>
        <v>82.225340795988274</v>
      </c>
    </row>
    <row r="13" spans="1:16" ht="15.75">
      <c r="A13" s="165">
        <v>8</v>
      </c>
      <c r="B13" s="166" t="s">
        <v>21</v>
      </c>
      <c r="C13" s="222">
        <v>5978</v>
      </c>
      <c r="D13" s="170">
        <v>843.74</v>
      </c>
      <c r="E13" s="170">
        <v>1037.0400000000004</v>
      </c>
      <c r="F13" s="170">
        <v>1021.5781000000003</v>
      </c>
      <c r="G13" s="170">
        <v>1523.1399999999999</v>
      </c>
      <c r="H13" s="170">
        <v>1693.8449759999999</v>
      </c>
      <c r="I13" s="227">
        <f t="shared" si="0"/>
        <v>6119.343076000001</v>
      </c>
      <c r="J13" s="170">
        <v>797.81561545643285</v>
      </c>
      <c r="K13" s="170">
        <v>902.40428129072336</v>
      </c>
      <c r="L13" s="170">
        <v>838.91253189843087</v>
      </c>
      <c r="M13" s="170">
        <v>1153.0096913373177</v>
      </c>
      <c r="N13" s="170">
        <v>1187.320447370902</v>
      </c>
      <c r="O13" s="231">
        <v>4879.4625673538067</v>
      </c>
      <c r="P13" s="234">
        <f t="shared" si="1"/>
        <v>81.623662886480545</v>
      </c>
    </row>
    <row r="14" spans="1:16" ht="15.75">
      <c r="A14" s="165">
        <v>9</v>
      </c>
      <c r="B14" s="166" t="s">
        <v>22</v>
      </c>
      <c r="C14" s="222">
        <v>4720</v>
      </c>
      <c r="D14" s="170">
        <v>770.44000000000028</v>
      </c>
      <c r="E14" s="170">
        <v>932.09000000000015</v>
      </c>
      <c r="F14" s="170">
        <v>1223.21</v>
      </c>
      <c r="G14" s="170">
        <v>673.65</v>
      </c>
      <c r="H14" s="170">
        <v>1454.6999270000003</v>
      </c>
      <c r="I14" s="227">
        <f t="shared" si="0"/>
        <v>5054.0899270000009</v>
      </c>
      <c r="J14" s="170">
        <v>728.50530112624051</v>
      </c>
      <c r="K14" s="170">
        <v>811.07961751549612</v>
      </c>
      <c r="L14" s="170">
        <v>1004.4911868642049</v>
      </c>
      <c r="M14" s="170">
        <v>509.94982639112897</v>
      </c>
      <c r="N14" s="170">
        <v>1019.6889282009826</v>
      </c>
      <c r="O14" s="231">
        <v>4073.7148600980531</v>
      </c>
      <c r="P14" s="234">
        <f t="shared" si="1"/>
        <v>86.307518222416377</v>
      </c>
    </row>
    <row r="15" spans="1:16" ht="15.75">
      <c r="A15" s="165">
        <v>10</v>
      </c>
      <c r="B15" s="166" t="s">
        <v>23</v>
      </c>
      <c r="C15" s="222">
        <v>8852</v>
      </c>
      <c r="D15" s="170">
        <v>1197.02</v>
      </c>
      <c r="E15" s="170">
        <v>1777.78</v>
      </c>
      <c r="F15" s="170">
        <v>1780.97</v>
      </c>
      <c r="G15" s="170">
        <v>1861.61</v>
      </c>
      <c r="H15" s="170">
        <v>1971.26</v>
      </c>
      <c r="I15" s="227">
        <f t="shared" si="0"/>
        <v>8588.64</v>
      </c>
      <c r="J15" s="170">
        <v>1131.8667456961375</v>
      </c>
      <c r="K15" s="170">
        <v>1546.9762817181802</v>
      </c>
      <c r="L15" s="170">
        <v>1462.5196565344813</v>
      </c>
      <c r="M15" s="170">
        <v>1409.2298616610844</v>
      </c>
      <c r="N15" s="170">
        <v>1381.7777531279605</v>
      </c>
      <c r="O15" s="231">
        <v>6932.3702987378438</v>
      </c>
      <c r="P15" s="234">
        <f t="shared" si="1"/>
        <v>78.314169664910111</v>
      </c>
    </row>
    <row r="16" spans="1:16" ht="15.75">
      <c r="A16" s="165">
        <v>11</v>
      </c>
      <c r="B16" s="166" t="s">
        <v>24</v>
      </c>
      <c r="C16" s="222">
        <v>42798</v>
      </c>
      <c r="D16" s="170">
        <v>4818.7099907176671</v>
      </c>
      <c r="E16" s="170">
        <v>4094.4909164651503</v>
      </c>
      <c r="F16" s="170">
        <v>4744.228000000001</v>
      </c>
      <c r="G16" s="170">
        <v>6407.8465999999989</v>
      </c>
      <c r="H16" s="170">
        <v>7800.0076899999985</v>
      </c>
      <c r="I16" s="227">
        <f t="shared" si="0"/>
        <v>27865.283197182816</v>
      </c>
      <c r="J16" s="170">
        <v>4556.4297970351963</v>
      </c>
      <c r="K16" s="170">
        <v>3562.9157339390263</v>
      </c>
      <c r="L16" s="170">
        <v>3895.9256501127311</v>
      </c>
      <c r="M16" s="170">
        <v>4850.7092128122695</v>
      </c>
      <c r="N16" s="170">
        <v>5467.5066202677535</v>
      </c>
      <c r="O16" s="231">
        <v>22333.487014166974</v>
      </c>
      <c r="P16" s="234">
        <f t="shared" si="1"/>
        <v>52.183482906133406</v>
      </c>
    </row>
    <row r="17" spans="1:16" s="160" customFormat="1">
      <c r="A17" s="163"/>
      <c r="B17" s="164" t="s">
        <v>143</v>
      </c>
      <c r="C17" s="237">
        <f>SUM(C6:C16)</f>
        <v>156688</v>
      </c>
      <c r="D17" s="169">
        <f t="shared" ref="D17:N17" si="2">SUM(D6:D16)</f>
        <v>23725.639990717664</v>
      </c>
      <c r="E17" s="169">
        <f t="shared" si="2"/>
        <v>27732.880916465154</v>
      </c>
      <c r="F17" s="169">
        <f t="shared" si="2"/>
        <v>30201.676100000004</v>
      </c>
      <c r="G17" s="169">
        <f t="shared" si="2"/>
        <v>33900.156599999995</v>
      </c>
      <c r="H17" s="169">
        <f t="shared" si="2"/>
        <v>39190.750325011337</v>
      </c>
      <c r="I17" s="228">
        <f t="shared" si="0"/>
        <v>154751.10393219412</v>
      </c>
      <c r="J17" s="169">
        <f t="shared" si="2"/>
        <v>22434.264194292271</v>
      </c>
      <c r="K17" s="169">
        <f t="shared" si="2"/>
        <v>24132.40614782838</v>
      </c>
      <c r="L17" s="169">
        <f t="shared" si="2"/>
        <v>24801.397528615111</v>
      </c>
      <c r="M17" s="169">
        <f t="shared" si="2"/>
        <v>25662.256324207061</v>
      </c>
      <c r="N17" s="169">
        <f t="shared" si="2"/>
        <v>27471.214820720277</v>
      </c>
      <c r="O17" s="232">
        <f>SUM(O6:O16)</f>
        <v>124501.53901566312</v>
      </c>
      <c r="P17" s="234">
        <f t="shared" si="1"/>
        <v>79.458247610323141</v>
      </c>
    </row>
    <row r="18" spans="1:16" ht="15.75">
      <c r="A18" s="163" t="s">
        <v>140</v>
      </c>
      <c r="B18" s="164" t="s">
        <v>138</v>
      </c>
      <c r="C18" s="220"/>
      <c r="D18" s="154"/>
      <c r="E18" s="154"/>
      <c r="F18" s="154"/>
      <c r="G18" s="154"/>
      <c r="H18" s="154"/>
      <c r="I18" s="226"/>
      <c r="J18" s="236"/>
      <c r="K18" s="154"/>
      <c r="L18" s="154"/>
      <c r="M18" s="154"/>
      <c r="N18" s="154"/>
      <c r="O18" s="230"/>
      <c r="P18" s="414"/>
    </row>
    <row r="19" spans="1:16" ht="15.75">
      <c r="A19" s="165">
        <v>1</v>
      </c>
      <c r="B19" s="166" t="s">
        <v>27</v>
      </c>
      <c r="C19" s="221">
        <v>147395</v>
      </c>
      <c r="D19" s="170">
        <v>27178.14</v>
      </c>
      <c r="E19" s="170">
        <v>30629.89</v>
      </c>
      <c r="F19" s="170">
        <v>29405.25</v>
      </c>
      <c r="G19" s="170">
        <v>31592.91</v>
      </c>
      <c r="H19" s="170">
        <v>40171.519999999997</v>
      </c>
      <c r="I19" s="227">
        <f>SUM(D19:H19)</f>
        <v>158977.71</v>
      </c>
      <c r="J19" s="170">
        <v>25698.846197953266</v>
      </c>
      <c r="K19" s="170">
        <v>26653.30543803894</v>
      </c>
      <c r="L19" s="170">
        <v>24147.378187342041</v>
      </c>
      <c r="M19" s="170">
        <v>23915.68168884519</v>
      </c>
      <c r="N19" s="170">
        <v>28158.69679562053</v>
      </c>
      <c r="O19" s="231">
        <v>128573.90830779997</v>
      </c>
      <c r="P19" s="234">
        <f>+O19/C19*100</f>
        <v>87.230847930933862</v>
      </c>
    </row>
    <row r="20" spans="1:16" ht="15.75">
      <c r="A20" s="165">
        <v>2</v>
      </c>
      <c r="B20" s="166" t="s">
        <v>28</v>
      </c>
      <c r="C20" s="222">
        <v>60631</v>
      </c>
      <c r="D20" s="170">
        <v>10436.18</v>
      </c>
      <c r="E20" s="170">
        <v>13692.85</v>
      </c>
      <c r="F20" s="170">
        <v>16386.509999999998</v>
      </c>
      <c r="G20" s="170">
        <v>19312.069999999992</v>
      </c>
      <c r="H20" s="170">
        <v>22171.916317000003</v>
      </c>
      <c r="I20" s="227">
        <f t="shared" ref="I20:I42" si="3">SUM(D20:H20)</f>
        <v>81999.526316999982</v>
      </c>
      <c r="J20" s="170">
        <v>9868.1434680282</v>
      </c>
      <c r="K20" s="170">
        <v>11915.149331821027</v>
      </c>
      <c r="L20" s="170">
        <v>13456.483251822794</v>
      </c>
      <c r="M20" s="170">
        <v>14619.144576194352</v>
      </c>
      <c r="N20" s="170">
        <v>15541.664068182497</v>
      </c>
      <c r="O20" s="231">
        <v>65400.584696048871</v>
      </c>
      <c r="P20" s="234">
        <f t="shared" ref="P20:P36" si="4">+O20/C20*100</f>
        <v>107.86657765177694</v>
      </c>
    </row>
    <row r="21" spans="1:16" ht="15.75">
      <c r="A21" s="165">
        <v>3</v>
      </c>
      <c r="B21" s="166" t="s">
        <v>29</v>
      </c>
      <c r="C21" s="222">
        <v>53730</v>
      </c>
      <c r="D21" s="170">
        <v>6048.2000000000044</v>
      </c>
      <c r="E21" s="170">
        <v>6553.67</v>
      </c>
      <c r="F21" s="170">
        <v>9494.77</v>
      </c>
      <c r="G21" s="170">
        <v>11334.17</v>
      </c>
      <c r="H21" s="170">
        <v>15668.99</v>
      </c>
      <c r="I21" s="227">
        <f t="shared" si="3"/>
        <v>49099.8</v>
      </c>
      <c r="J21" s="170">
        <v>5718.9992241728487</v>
      </c>
      <c r="K21" s="170">
        <v>5702.8271485830564</v>
      </c>
      <c r="L21" s="170">
        <v>7797.0363112651521</v>
      </c>
      <c r="M21" s="170">
        <v>8579.912452738874</v>
      </c>
      <c r="N21" s="170">
        <v>10983.361807161147</v>
      </c>
      <c r="O21" s="231">
        <v>38782.136943921076</v>
      </c>
      <c r="P21" s="234">
        <f t="shared" si="4"/>
        <v>72.179670470725981</v>
      </c>
    </row>
    <row r="22" spans="1:16" ht="15.75">
      <c r="A22" s="165">
        <v>4</v>
      </c>
      <c r="B22" s="166" t="s">
        <v>30</v>
      </c>
      <c r="C22" s="222">
        <v>8485</v>
      </c>
      <c r="D22" s="170">
        <v>1265.0799999999972</v>
      </c>
      <c r="E22" s="170">
        <v>1623.8397699999996</v>
      </c>
      <c r="F22" s="170">
        <v>2229.3099999999995</v>
      </c>
      <c r="G22" s="170">
        <v>2442.8999999999996</v>
      </c>
      <c r="H22" s="170">
        <v>3290.0288999999993</v>
      </c>
      <c r="I22" s="227">
        <f t="shared" si="3"/>
        <v>10851.158669999995</v>
      </c>
      <c r="J22" s="170">
        <v>1196.2222708436504</v>
      </c>
      <c r="K22" s="170">
        <v>1413.0216390670973</v>
      </c>
      <c r="L22" s="170">
        <v>1830.6932152191691</v>
      </c>
      <c r="M22" s="170">
        <v>1849.2636100213595</v>
      </c>
      <c r="N22" s="170">
        <v>2306.1842380853136</v>
      </c>
      <c r="O22" s="231">
        <v>8595.3849732365907</v>
      </c>
      <c r="P22" s="234">
        <f t="shared" si="4"/>
        <v>101.30094252488615</v>
      </c>
    </row>
    <row r="23" spans="1:16" ht="15.75">
      <c r="A23" s="165">
        <v>5</v>
      </c>
      <c r="B23" s="166" t="s">
        <v>31</v>
      </c>
      <c r="C23" s="222">
        <v>106918</v>
      </c>
      <c r="D23" s="170">
        <v>15765.120000000006</v>
      </c>
      <c r="E23" s="170">
        <v>21940.82</v>
      </c>
      <c r="F23" s="170">
        <v>22582.17</v>
      </c>
      <c r="G23" s="170">
        <v>27553.35</v>
      </c>
      <c r="H23" s="170">
        <v>39999.459399999992</v>
      </c>
      <c r="I23" s="227">
        <f t="shared" si="3"/>
        <v>127840.91939999998</v>
      </c>
      <c r="J23" s="170">
        <v>14907.031686946833</v>
      </c>
      <c r="K23" s="170">
        <v>19092.310714176041</v>
      </c>
      <c r="L23" s="170">
        <v>18544.314341175457</v>
      </c>
      <c r="M23" s="170">
        <v>20857.754099300841</v>
      </c>
      <c r="N23" s="170">
        <v>28038.088905606095</v>
      </c>
      <c r="O23" s="231">
        <v>101439.49974720528</v>
      </c>
      <c r="P23" s="234">
        <f t="shared" si="4"/>
        <v>94.875979486340256</v>
      </c>
    </row>
    <row r="24" spans="1:16" ht="15.75">
      <c r="A24" s="165">
        <v>6</v>
      </c>
      <c r="B24" s="166" t="s">
        <v>32</v>
      </c>
      <c r="C24" s="222">
        <v>33374</v>
      </c>
      <c r="D24" s="170">
        <v>10709.6</v>
      </c>
      <c r="E24" s="170">
        <v>13849.01</v>
      </c>
      <c r="F24" s="170">
        <v>18922.329999999998</v>
      </c>
      <c r="G24" s="170">
        <v>15721.910000000002</v>
      </c>
      <c r="H24" s="170">
        <v>20128.63</v>
      </c>
      <c r="I24" s="227">
        <f t="shared" si="3"/>
        <v>79331.48000000001</v>
      </c>
      <c r="J24" s="170">
        <v>10126.68134175482</v>
      </c>
      <c r="K24" s="170">
        <v>12051.035558549367</v>
      </c>
      <c r="L24" s="170">
        <v>15538.880257630453</v>
      </c>
      <c r="M24" s="170">
        <v>11901.410636141847</v>
      </c>
      <c r="N24" s="170">
        <v>14109.398625723681</v>
      </c>
      <c r="O24" s="231">
        <v>63727.406419800165</v>
      </c>
      <c r="P24" s="234">
        <f t="shared" si="4"/>
        <v>190.94926116078435</v>
      </c>
    </row>
    <row r="25" spans="1:16" ht="15.75">
      <c r="A25" s="165">
        <v>7</v>
      </c>
      <c r="B25" s="166" t="s">
        <v>33</v>
      </c>
      <c r="C25" s="222">
        <v>40240</v>
      </c>
      <c r="D25" s="170">
        <v>5524.2900000000009</v>
      </c>
      <c r="E25" s="170">
        <v>6667.5299999999988</v>
      </c>
      <c r="F25" s="170">
        <v>6746.5899999999983</v>
      </c>
      <c r="G25" s="170">
        <v>8525.4261000000006</v>
      </c>
      <c r="H25" s="170">
        <v>15300.000000000004</v>
      </c>
      <c r="I25" s="227">
        <f t="shared" si="3"/>
        <v>42763.8361</v>
      </c>
      <c r="J25" s="170">
        <v>5223.6054072460911</v>
      </c>
      <c r="K25" s="170">
        <v>5801.9050544186657</v>
      </c>
      <c r="L25" s="170">
        <v>5540.2508125229306</v>
      </c>
      <c r="M25" s="170">
        <v>6453.7067610857266</v>
      </c>
      <c r="N25" s="170">
        <v>10724.713950903382</v>
      </c>
      <c r="O25" s="231">
        <v>33744.181986176794</v>
      </c>
      <c r="P25" s="234">
        <f t="shared" si="4"/>
        <v>83.857311098848896</v>
      </c>
    </row>
    <row r="26" spans="1:16" ht="15.75">
      <c r="A26" s="165">
        <v>8</v>
      </c>
      <c r="B26" s="166" t="s">
        <v>34</v>
      </c>
      <c r="C26" s="222">
        <v>101664</v>
      </c>
      <c r="D26" s="170">
        <f>14594.13+2484.96</f>
        <v>17079.09</v>
      </c>
      <c r="E26" s="170">
        <f>18859.79+4165.59</f>
        <v>23025.38</v>
      </c>
      <c r="F26" s="170">
        <v>26956.226039590947</v>
      </c>
      <c r="G26" s="170">
        <v>31154.43054036202</v>
      </c>
      <c r="H26" s="170">
        <v>37613.322905854096</v>
      </c>
      <c r="I26" s="227">
        <f t="shared" si="3"/>
        <v>135828.44948580707</v>
      </c>
      <c r="J26" s="170">
        <v>16149.482897321217</v>
      </c>
      <c r="K26" s="170">
        <v>20036.065619788809</v>
      </c>
      <c r="L26" s="170">
        <v>22136.257460197754</v>
      </c>
      <c r="M26" s="170">
        <v>23583.754836149481</v>
      </c>
      <c r="N26" s="170">
        <v>26365.498621454059</v>
      </c>
      <c r="O26" s="231">
        <v>108271.05943491132</v>
      </c>
      <c r="P26" s="234">
        <f t="shared" si="4"/>
        <v>106.49891744856717</v>
      </c>
    </row>
    <row r="27" spans="1:16" ht="15.75">
      <c r="A27" s="165">
        <v>9</v>
      </c>
      <c r="B27" s="166" t="s">
        <v>35</v>
      </c>
      <c r="C27" s="222">
        <v>41940</v>
      </c>
      <c r="D27" s="170">
        <v>5815.4100000000053</v>
      </c>
      <c r="E27" s="170">
        <v>6689.4826712999984</v>
      </c>
      <c r="F27" s="170">
        <v>8540.8400000000038</v>
      </c>
      <c r="G27" s="170">
        <v>9242.25</v>
      </c>
      <c r="H27" s="170">
        <v>9732.4312853446881</v>
      </c>
      <c r="I27" s="227">
        <f t="shared" si="3"/>
        <v>40020.413956644697</v>
      </c>
      <c r="J27" s="170">
        <v>5498.8798780210691</v>
      </c>
      <c r="K27" s="170">
        <v>5821.0076778149551</v>
      </c>
      <c r="L27" s="170">
        <v>7013.6759088114704</v>
      </c>
      <c r="M27" s="170">
        <v>6996.3390231773346</v>
      </c>
      <c r="N27" s="170">
        <v>6822.061541316647</v>
      </c>
      <c r="O27" s="231">
        <v>32151.964029141476</v>
      </c>
      <c r="P27" s="234">
        <f t="shared" si="4"/>
        <v>76.661812182025457</v>
      </c>
    </row>
    <row r="28" spans="1:16" ht="15.75">
      <c r="A28" s="165">
        <v>10</v>
      </c>
      <c r="B28" s="166" t="s">
        <v>36</v>
      </c>
      <c r="C28" s="222">
        <v>70329</v>
      </c>
      <c r="D28" s="170">
        <v>10785.73</v>
      </c>
      <c r="E28" s="170">
        <v>11948.82</v>
      </c>
      <c r="F28" s="170">
        <v>14560.84</v>
      </c>
      <c r="G28" s="170">
        <v>18992.22</v>
      </c>
      <c r="H28" s="170">
        <v>28368.27</v>
      </c>
      <c r="I28" s="227">
        <f t="shared" si="3"/>
        <v>84655.88</v>
      </c>
      <c r="J28" s="170">
        <v>10198.667620471839</v>
      </c>
      <c r="K28" s="170">
        <v>10397.541391240662</v>
      </c>
      <c r="L28" s="170">
        <v>11957.256279248688</v>
      </c>
      <c r="M28" s="170">
        <v>14377.019656768542</v>
      </c>
      <c r="N28" s="170">
        <v>19885.070655685871</v>
      </c>
      <c r="O28" s="231">
        <v>66815.555603415603</v>
      </c>
      <c r="P28" s="234">
        <f t="shared" si="4"/>
        <v>95.004273633089625</v>
      </c>
    </row>
    <row r="29" spans="1:16" ht="15.75">
      <c r="A29" s="165">
        <v>11</v>
      </c>
      <c r="B29" s="166" t="s">
        <v>37</v>
      </c>
      <c r="C29" s="222">
        <v>127538</v>
      </c>
      <c r="D29" s="170">
        <v>18660.779999999984</v>
      </c>
      <c r="E29" s="170">
        <v>23292.369999999988</v>
      </c>
      <c r="F29" s="170">
        <v>29927.849999999984</v>
      </c>
      <c r="G29" s="170">
        <v>33057.07</v>
      </c>
      <c r="H29" s="170">
        <v>41999.999999999993</v>
      </c>
      <c r="I29" s="227">
        <f t="shared" si="3"/>
        <v>146938.06999999995</v>
      </c>
      <c r="J29" s="170">
        <v>17645.082229830372</v>
      </c>
      <c r="K29" s="170">
        <v>20268.39312794838</v>
      </c>
      <c r="L29" s="170">
        <v>24576.533519832145</v>
      </c>
      <c r="M29" s="170">
        <v>25024.043802418761</v>
      </c>
      <c r="N29" s="170">
        <v>29440.39123777398</v>
      </c>
      <c r="O29" s="231">
        <v>116954.44391780363</v>
      </c>
      <c r="P29" s="234">
        <f t="shared" si="4"/>
        <v>91.701644935473055</v>
      </c>
    </row>
    <row r="30" spans="1:16" ht="15.75">
      <c r="A30" s="165">
        <v>12</v>
      </c>
      <c r="B30" s="166" t="s">
        <v>104</v>
      </c>
      <c r="C30" s="222">
        <v>32225</v>
      </c>
      <c r="D30" s="170">
        <v>5950.59</v>
      </c>
      <c r="E30" s="170">
        <v>7799.54</v>
      </c>
      <c r="F30" s="170">
        <v>9404.35</v>
      </c>
      <c r="G30" s="170">
        <v>11237.9</v>
      </c>
      <c r="H30" s="170">
        <v>15200</v>
      </c>
      <c r="I30" s="227">
        <f t="shared" si="3"/>
        <v>49592.380000000005</v>
      </c>
      <c r="J30" s="170">
        <v>5626.7020920886689</v>
      </c>
      <c r="K30" s="170">
        <v>6786.9496722385302</v>
      </c>
      <c r="L30" s="170">
        <v>7722.7840625782856</v>
      </c>
      <c r="M30" s="170">
        <v>8507.0365234184937</v>
      </c>
      <c r="N30" s="170">
        <v>10654.617781289633</v>
      </c>
      <c r="O30" s="231">
        <v>39298.090131613608</v>
      </c>
      <c r="P30" s="234">
        <f t="shared" si="4"/>
        <v>121.94907721214463</v>
      </c>
    </row>
    <row r="31" spans="1:16" ht="15.75">
      <c r="A31" s="165">
        <v>13</v>
      </c>
      <c r="B31" s="166" t="s">
        <v>39</v>
      </c>
      <c r="C31" s="222">
        <v>28923</v>
      </c>
      <c r="D31" s="170">
        <v>5099.6099999999979</v>
      </c>
      <c r="E31" s="170">
        <v>6623.9100000000017</v>
      </c>
      <c r="F31" s="170">
        <v>4698.6100000000033</v>
      </c>
      <c r="G31" s="170">
        <v>7631.0099999999966</v>
      </c>
      <c r="H31" s="170">
        <v>7045.0000000000009</v>
      </c>
      <c r="I31" s="227">
        <f t="shared" si="3"/>
        <v>31098.14</v>
      </c>
      <c r="J31" s="170">
        <v>4822.0405465401391</v>
      </c>
      <c r="K31" s="170">
        <v>5763.9481050725472</v>
      </c>
      <c r="L31" s="170">
        <v>3858.4644791262535</v>
      </c>
      <c r="M31" s="170">
        <v>5776.638053423836</v>
      </c>
      <c r="N31" s="170">
        <v>4938.2751492885182</v>
      </c>
      <c r="O31" s="231">
        <v>25159.366333451293</v>
      </c>
      <c r="P31" s="234">
        <f t="shared" si="4"/>
        <v>86.987402183215067</v>
      </c>
    </row>
    <row r="32" spans="1:16" ht="15.75">
      <c r="A32" s="165">
        <v>14</v>
      </c>
      <c r="B32" s="166" t="s">
        <v>40</v>
      </c>
      <c r="C32" s="222">
        <v>71732</v>
      </c>
      <c r="D32" s="170">
        <v>12636.150000000007</v>
      </c>
      <c r="E32" s="170">
        <v>14555.99</v>
      </c>
      <c r="F32" s="170">
        <v>17961.330000000002</v>
      </c>
      <c r="G32" s="170">
        <v>21676.859999999997</v>
      </c>
      <c r="H32" s="170">
        <v>27896.519999999997</v>
      </c>
      <c r="I32" s="227">
        <f t="shared" si="3"/>
        <v>94726.85</v>
      </c>
      <c r="J32" s="170">
        <v>11948.370101275046</v>
      </c>
      <c r="K32" s="170">
        <v>12666.230516108299</v>
      </c>
      <c r="L32" s="170">
        <v>14749.714022416143</v>
      </c>
      <c r="M32" s="170">
        <v>16409.279289994516</v>
      </c>
      <c r="N32" s="170">
        <v>19554.391975533013</v>
      </c>
      <c r="O32" s="231">
        <v>75327.985905327019</v>
      </c>
      <c r="P32" s="234">
        <f t="shared" si="4"/>
        <v>105.01308468372137</v>
      </c>
    </row>
    <row r="33" spans="1:16" ht="15.75">
      <c r="A33" s="165">
        <v>15</v>
      </c>
      <c r="B33" s="166" t="s">
        <v>41</v>
      </c>
      <c r="C33" s="222">
        <v>85344</v>
      </c>
      <c r="D33" s="170">
        <v>14224.3223</v>
      </c>
      <c r="E33" s="170">
        <v>16275.1</v>
      </c>
      <c r="F33" s="170">
        <v>17833.52</v>
      </c>
      <c r="G33" s="170">
        <v>20464.77</v>
      </c>
      <c r="H33" s="170">
        <v>23534.999999999996</v>
      </c>
      <c r="I33" s="227">
        <f t="shared" si="3"/>
        <v>92332.712299999999</v>
      </c>
      <c r="J33" s="170">
        <v>13450.098905142768</v>
      </c>
      <c r="K33" s="170">
        <v>14162.15374376557</v>
      </c>
      <c r="L33" s="170">
        <v>14644.757376710895</v>
      </c>
      <c r="M33" s="170">
        <v>15491.732960193549</v>
      </c>
      <c r="N33" s="170">
        <v>16497.133518595492</v>
      </c>
      <c r="O33" s="231">
        <v>74245.876504408283</v>
      </c>
      <c r="P33" s="234">
        <f t="shared" si="4"/>
        <v>86.996012027100065</v>
      </c>
    </row>
    <row r="34" spans="1:16" ht="15.75">
      <c r="A34" s="165">
        <v>16</v>
      </c>
      <c r="B34" s="166" t="s">
        <v>42</v>
      </c>
      <c r="C34" s="222">
        <v>181094</v>
      </c>
      <c r="D34" s="170">
        <v>25249.019999999997</v>
      </c>
      <c r="E34" s="170">
        <v>34798.050000000003</v>
      </c>
      <c r="F34" s="170">
        <v>33591.229999999996</v>
      </c>
      <c r="G34" s="170">
        <v>38432.130000000005</v>
      </c>
      <c r="H34" s="170">
        <v>47000</v>
      </c>
      <c r="I34" s="227">
        <f t="shared" si="3"/>
        <v>179070.43</v>
      </c>
      <c r="J34" s="170">
        <v>23874.727322364441</v>
      </c>
      <c r="K34" s="170">
        <v>30280.326024616839</v>
      </c>
      <c r="L34" s="170">
        <v>27584.874625721241</v>
      </c>
      <c r="M34" s="170">
        <v>29092.93850121176</v>
      </c>
      <c r="N34" s="170">
        <v>32945.199718461365</v>
      </c>
      <c r="O34" s="231">
        <v>143778.06619237564</v>
      </c>
      <c r="P34" s="234">
        <f t="shared" si="4"/>
        <v>79.394163358463359</v>
      </c>
    </row>
    <row r="35" spans="1:16" ht="15.75">
      <c r="A35" s="165">
        <v>17</v>
      </c>
      <c r="B35" s="166" t="s">
        <v>43</v>
      </c>
      <c r="C35" s="222">
        <v>63779</v>
      </c>
      <c r="D35" s="170">
        <v>7355.0599999999995</v>
      </c>
      <c r="E35" s="170">
        <v>8752.529999999997</v>
      </c>
      <c r="F35" s="170">
        <v>12223.129999999997</v>
      </c>
      <c r="G35" s="170">
        <v>13696.740000000002</v>
      </c>
      <c r="H35" s="170">
        <v>22214.000000000004</v>
      </c>
      <c r="I35" s="227">
        <f t="shared" si="3"/>
        <v>64241.459999999992</v>
      </c>
      <c r="J35" s="170">
        <v>6954.7274286142519</v>
      </c>
      <c r="K35" s="170">
        <v>7616.2159069327017</v>
      </c>
      <c r="L35" s="170">
        <v>10037.545769651544</v>
      </c>
      <c r="M35" s="170">
        <v>10368.366637162373</v>
      </c>
      <c r="N35" s="170">
        <v>15571.16311799789</v>
      </c>
      <c r="O35" s="231">
        <v>50548.018860358759</v>
      </c>
      <c r="P35" s="234">
        <f t="shared" si="4"/>
        <v>79.254956741809622</v>
      </c>
    </row>
    <row r="36" spans="1:16" s="160" customFormat="1">
      <c r="A36" s="163"/>
      <c r="B36" s="164" t="s">
        <v>139</v>
      </c>
      <c r="C36" s="223">
        <f t="shared" ref="C36:O36" si="5">SUM(C19:C35)</f>
        <v>1255341</v>
      </c>
      <c r="D36" s="169">
        <f t="shared" si="5"/>
        <v>199782.37229999996</v>
      </c>
      <c r="E36" s="169">
        <f t="shared" si="5"/>
        <v>248718.78244130002</v>
      </c>
      <c r="F36" s="169">
        <f t="shared" si="5"/>
        <v>281464.85603959096</v>
      </c>
      <c r="G36" s="169">
        <f t="shared" si="5"/>
        <v>322068.11664036202</v>
      </c>
      <c r="H36" s="169">
        <f t="shared" si="5"/>
        <v>417335.08880819875</v>
      </c>
      <c r="I36" s="228">
        <f t="shared" si="3"/>
        <v>1469369.2162294516</v>
      </c>
      <c r="J36" s="169">
        <f t="shared" si="5"/>
        <v>188908.3086186155</v>
      </c>
      <c r="K36" s="169">
        <f t="shared" si="5"/>
        <v>216428.38667018147</v>
      </c>
      <c r="L36" s="169">
        <f t="shared" si="5"/>
        <v>231136.89988127243</v>
      </c>
      <c r="M36" s="169">
        <f t="shared" si="5"/>
        <v>243804.02310824682</v>
      </c>
      <c r="N36" s="169">
        <f t="shared" si="5"/>
        <v>292535.91170867911</v>
      </c>
      <c r="O36" s="232">
        <f t="shared" si="5"/>
        <v>1172813.5299869953</v>
      </c>
      <c r="P36" s="234">
        <f t="shared" si="4"/>
        <v>93.42589224656848</v>
      </c>
    </row>
    <row r="37" spans="1:16" s="160" customFormat="1">
      <c r="A37" s="163"/>
      <c r="B37" s="164" t="s">
        <v>175</v>
      </c>
      <c r="C37" s="237">
        <f t="shared" ref="C37:H37" si="6">C36+C17</f>
        <v>1412029</v>
      </c>
      <c r="D37" s="169">
        <f t="shared" si="6"/>
        <v>223508.01229071763</v>
      </c>
      <c r="E37" s="169">
        <f t="shared" si="6"/>
        <v>276451.66335776518</v>
      </c>
      <c r="F37" s="169">
        <f t="shared" si="6"/>
        <v>311666.53213959094</v>
      </c>
      <c r="G37" s="169">
        <f t="shared" si="6"/>
        <v>355968.273240362</v>
      </c>
      <c r="H37" s="169">
        <f t="shared" si="6"/>
        <v>456525.83913321007</v>
      </c>
      <c r="I37" s="228">
        <f t="shared" si="3"/>
        <v>1624120.3201616458</v>
      </c>
      <c r="J37" s="169">
        <f t="shared" ref="J37:O37" si="7">J36+J17</f>
        <v>211342.57281290778</v>
      </c>
      <c r="K37" s="169">
        <f t="shared" si="7"/>
        <v>240560.79281800985</v>
      </c>
      <c r="L37" s="169">
        <f t="shared" si="7"/>
        <v>255938.29740988754</v>
      </c>
      <c r="M37" s="169">
        <f t="shared" si="7"/>
        <v>269466.27943245391</v>
      </c>
      <c r="N37" s="169">
        <f t="shared" si="7"/>
        <v>320007.12652939936</v>
      </c>
      <c r="O37" s="232">
        <f t="shared" si="7"/>
        <v>1297315.0690026584</v>
      </c>
      <c r="P37" s="234">
        <f t="shared" ref="P37:P42" si="8">+O37/C37*100</f>
        <v>91.875950777403176</v>
      </c>
    </row>
    <row r="38" spans="1:16" s="160" customFormat="1">
      <c r="A38" s="163" t="s">
        <v>271</v>
      </c>
      <c r="B38" s="164" t="s">
        <v>272</v>
      </c>
      <c r="C38" s="237"/>
      <c r="D38" s="169"/>
      <c r="E38" s="169"/>
      <c r="F38" s="169"/>
      <c r="G38" s="169"/>
      <c r="H38" s="169"/>
      <c r="I38" s="228"/>
      <c r="J38" s="169"/>
      <c r="K38" s="169"/>
      <c r="L38" s="169"/>
      <c r="M38" s="169"/>
      <c r="N38" s="169"/>
      <c r="O38" s="232"/>
      <c r="P38" s="234"/>
    </row>
    <row r="39" spans="1:16" ht="15" customHeight="1">
      <c r="A39" s="165">
        <v>1</v>
      </c>
      <c r="B39" s="166" t="s">
        <v>145</v>
      </c>
      <c r="C39" s="238">
        <v>54799</v>
      </c>
      <c r="D39" s="170">
        <v>8747.427099999999</v>
      </c>
      <c r="E39" s="170">
        <v>9619.5153000000009</v>
      </c>
      <c r="F39" s="170">
        <v>11048.1445</v>
      </c>
      <c r="G39" s="170">
        <v>11400</v>
      </c>
      <c r="H39" s="170">
        <v>15133</v>
      </c>
      <c r="I39" s="227">
        <f t="shared" si="3"/>
        <v>55948.086900000002</v>
      </c>
      <c r="J39" s="170">
        <v>8271.3086204835345</v>
      </c>
      <c r="K39" s="170">
        <v>8370.6431677289347</v>
      </c>
      <c r="L39" s="170">
        <v>9072.6561926833801</v>
      </c>
      <c r="M39" s="170">
        <v>8629.7454477234023</v>
      </c>
      <c r="N39" s="170">
        <v>10607.653347648422</v>
      </c>
      <c r="O39" s="231">
        <v>44952.006776267677</v>
      </c>
      <c r="P39" s="234">
        <f t="shared" si="8"/>
        <v>82.030706356443872</v>
      </c>
    </row>
    <row r="40" spans="1:16" ht="15.75" customHeight="1">
      <c r="A40" s="165">
        <v>2</v>
      </c>
      <c r="B40" s="166" t="s">
        <v>47</v>
      </c>
      <c r="C40" s="238">
        <v>10787</v>
      </c>
      <c r="D40" s="170">
        <v>1086.7253000000001</v>
      </c>
      <c r="E40" s="170">
        <v>1060.7583999999999</v>
      </c>
      <c r="F40" s="170">
        <v>1449.9279999999999</v>
      </c>
      <c r="G40" s="170">
        <v>1562.5</v>
      </c>
      <c r="H40" s="170">
        <v>1785</v>
      </c>
      <c r="I40" s="227">
        <f t="shared" si="3"/>
        <v>6944.9116999999997</v>
      </c>
      <c r="J40" s="170">
        <v>1027.5753360651106</v>
      </c>
      <c r="K40" s="170">
        <v>923.04339425200305</v>
      </c>
      <c r="L40" s="170">
        <v>1190.6703653400828</v>
      </c>
      <c r="M40" s="170">
        <v>1182.805022988405</v>
      </c>
      <c r="N40" s="170">
        <v>1251.2166276053943</v>
      </c>
      <c r="O40" s="231">
        <v>5575.3107462509952</v>
      </c>
      <c r="P40" s="234">
        <f t="shared" si="8"/>
        <v>51.685461632066335</v>
      </c>
    </row>
    <row r="41" spans="1:16" s="160" customFormat="1">
      <c r="A41" s="210"/>
      <c r="B41" s="167" t="s">
        <v>146</v>
      </c>
      <c r="C41" s="237">
        <f t="shared" ref="C41:N41" si="9">C39+C40</f>
        <v>65586</v>
      </c>
      <c r="D41" s="169">
        <f t="shared" si="9"/>
        <v>9834.152399999999</v>
      </c>
      <c r="E41" s="169">
        <f t="shared" si="9"/>
        <v>10680.273700000002</v>
      </c>
      <c r="F41" s="169">
        <f t="shared" si="9"/>
        <v>12498.0725</v>
      </c>
      <c r="G41" s="169">
        <f t="shared" si="9"/>
        <v>12962.5</v>
      </c>
      <c r="H41" s="169">
        <f t="shared" si="9"/>
        <v>16918</v>
      </c>
      <c r="I41" s="228">
        <f t="shared" si="3"/>
        <v>62892.998599999999</v>
      </c>
      <c r="J41" s="169">
        <f t="shared" si="9"/>
        <v>9298.8839565486451</v>
      </c>
      <c r="K41" s="169">
        <f t="shared" si="9"/>
        <v>9293.6865619809378</v>
      </c>
      <c r="L41" s="169">
        <f t="shared" si="9"/>
        <v>10263.326558023462</v>
      </c>
      <c r="M41" s="169">
        <f t="shared" si="9"/>
        <v>9812.5504707118071</v>
      </c>
      <c r="N41" s="169">
        <f t="shared" si="9"/>
        <v>11858.869975253816</v>
      </c>
      <c r="O41" s="232">
        <f>O39+O40</f>
        <v>50527.317522518671</v>
      </c>
      <c r="P41" s="234">
        <f t="shared" si="8"/>
        <v>77.039791300763383</v>
      </c>
    </row>
    <row r="42" spans="1:16" s="160" customFormat="1" ht="33" customHeight="1">
      <c r="A42" s="528" t="s">
        <v>274</v>
      </c>
      <c r="B42" s="529"/>
      <c r="C42" s="237">
        <f t="shared" ref="C42:H42" si="10">C36+C17+C41</f>
        <v>1477615</v>
      </c>
      <c r="D42" s="169">
        <f t="shared" si="10"/>
        <v>233342.16469071762</v>
      </c>
      <c r="E42" s="169">
        <f t="shared" si="10"/>
        <v>287131.9370577652</v>
      </c>
      <c r="F42" s="169">
        <f t="shared" si="10"/>
        <v>324164.60463959095</v>
      </c>
      <c r="G42" s="169">
        <f t="shared" si="10"/>
        <v>368930.773240362</v>
      </c>
      <c r="H42" s="169">
        <f t="shared" si="10"/>
        <v>473443.83913321007</v>
      </c>
      <c r="I42" s="228">
        <f t="shared" si="3"/>
        <v>1687013.3187616458</v>
      </c>
      <c r="J42" s="169">
        <f t="shared" ref="J42:O42" si="11">J36+J17+J41</f>
        <v>220641.45676945642</v>
      </c>
      <c r="K42" s="169">
        <f t="shared" si="11"/>
        <v>249854.47937999078</v>
      </c>
      <c r="L42" s="169">
        <f t="shared" si="11"/>
        <v>266201.623967911</v>
      </c>
      <c r="M42" s="169">
        <f t="shared" si="11"/>
        <v>279278.82990316569</v>
      </c>
      <c r="N42" s="169">
        <f t="shared" si="11"/>
        <v>331865.99650465319</v>
      </c>
      <c r="O42" s="232">
        <f t="shared" si="11"/>
        <v>1347842.3865251769</v>
      </c>
      <c r="P42" s="234">
        <f t="shared" si="8"/>
        <v>91.217427173193073</v>
      </c>
    </row>
    <row r="43" spans="1:16" ht="17.25" customHeight="1">
      <c r="B43" s="531" t="s">
        <v>168</v>
      </c>
      <c r="C43" s="531"/>
      <c r="D43" s="531"/>
      <c r="E43" s="531"/>
      <c r="F43" s="531"/>
      <c r="G43" s="531"/>
      <c r="H43" s="531"/>
    </row>
    <row r="44" spans="1:16" ht="17.25" customHeight="1">
      <c r="B44" s="239"/>
      <c r="D44" s="240" t="s">
        <v>55</v>
      </c>
      <c r="E44" s="240" t="s">
        <v>56</v>
      </c>
      <c r="F44" s="240" t="s">
        <v>7</v>
      </c>
      <c r="G44" s="240" t="s">
        <v>8</v>
      </c>
      <c r="H44" s="240" t="s">
        <v>9</v>
      </c>
    </row>
    <row r="45" spans="1:16">
      <c r="B45" s="153" t="s">
        <v>169</v>
      </c>
      <c r="D45" s="241">
        <f ca="1">+BCR!C45</f>
        <v>1.0575626543951435</v>
      </c>
      <c r="E45" s="241">
        <f ca="1">+BCR!D45</f>
        <v>1.1491966754819751</v>
      </c>
      <c r="F45" s="241">
        <f ca="1">+BCR!E45</f>
        <v>1.2177408980745625</v>
      </c>
      <c r="G45" s="241">
        <f ca="1">+BCR!F45</f>
        <v>1.321012313637526</v>
      </c>
      <c r="H45" s="241">
        <f ca="1">+BCR!G45</f>
        <v>1.426611476076826</v>
      </c>
    </row>
    <row r="52" spans="9:9">
      <c r="I52" s="162"/>
    </row>
    <row r="53" spans="9:9">
      <c r="I53" s="162"/>
    </row>
  </sheetData>
  <mergeCells count="8">
    <mergeCell ref="P2:P3"/>
    <mergeCell ref="A42:B42"/>
    <mergeCell ref="A1:O1"/>
    <mergeCell ref="B43:H43"/>
    <mergeCell ref="D2:I2"/>
    <mergeCell ref="B2:B3"/>
    <mergeCell ref="A2:A3"/>
    <mergeCell ref="J2:O2"/>
  </mergeCells>
  <phoneticPr fontId="63" type="noConversion"/>
  <printOptions horizontalCentered="1"/>
  <pageMargins left="0.23622047244094499" right="0.27559055118110198" top="0.78740157480314998" bottom="0.78740157480314998" header="0.511811023622047" footer="0.511811023622047"/>
  <pageSetup paperSize="9" scale="65" orientation="landscape" horizontalDpi="4294967295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tabSelected="1" zoomScaleNormal="10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D18" sqref="D18"/>
    </sheetView>
  </sheetViews>
  <sheetFormatPr defaultRowHeight="12.75"/>
  <cols>
    <col min="1" max="1" width="4.85546875" style="26" customWidth="1"/>
    <col min="2" max="2" width="34.7109375" customWidth="1"/>
    <col min="3" max="3" width="13" customWidth="1"/>
    <col min="4" max="4" width="11.7109375" customWidth="1"/>
    <col min="5" max="5" width="12.140625" style="14" customWidth="1"/>
    <col min="6" max="7" width="12.28515625" style="14" customWidth="1"/>
    <col min="8" max="9" width="11" customWidth="1"/>
    <col min="10" max="12" width="11" style="14" customWidth="1"/>
    <col min="13" max="14" width="11.28515625" customWidth="1"/>
    <col min="15" max="17" width="11.28515625" style="14" customWidth="1"/>
  </cols>
  <sheetData>
    <row r="1" spans="1:17" ht="33.75" customHeight="1">
      <c r="A1" s="622" t="s">
        <v>294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</row>
    <row r="2" spans="1:17" ht="35.25" customHeight="1">
      <c r="A2" s="592" t="s">
        <v>0</v>
      </c>
      <c r="B2" s="656" t="s">
        <v>315</v>
      </c>
      <c r="C2" s="629" t="s">
        <v>117</v>
      </c>
      <c r="D2" s="630"/>
      <c r="E2" s="630"/>
      <c r="F2" s="630"/>
      <c r="G2" s="631"/>
      <c r="H2" s="629" t="s">
        <v>118</v>
      </c>
      <c r="I2" s="630"/>
      <c r="J2" s="630"/>
      <c r="K2" s="630"/>
      <c r="L2" s="631"/>
      <c r="M2" s="623" t="s">
        <v>119</v>
      </c>
      <c r="N2" s="623"/>
      <c r="O2" s="623"/>
      <c r="P2" s="623"/>
      <c r="Q2" s="623"/>
    </row>
    <row r="3" spans="1:17" ht="27" customHeight="1">
      <c r="A3" s="592"/>
      <c r="B3" s="657"/>
      <c r="C3" s="2" t="s">
        <v>5</v>
      </c>
      <c r="D3" s="2" t="s">
        <v>6</v>
      </c>
      <c r="E3" s="1" t="s">
        <v>7</v>
      </c>
      <c r="F3" s="1" t="s">
        <v>8</v>
      </c>
      <c r="G3" s="1" t="s">
        <v>9</v>
      </c>
      <c r="H3" s="2" t="s">
        <v>5</v>
      </c>
      <c r="I3" s="2" t="s">
        <v>6</v>
      </c>
      <c r="J3" s="1" t="s">
        <v>7</v>
      </c>
      <c r="K3" s="1" t="s">
        <v>8</v>
      </c>
      <c r="L3" s="1" t="s">
        <v>9</v>
      </c>
      <c r="M3" s="2" t="s">
        <v>5</v>
      </c>
      <c r="N3" s="2" t="s">
        <v>6</v>
      </c>
      <c r="O3" s="1" t="s">
        <v>7</v>
      </c>
      <c r="P3" s="1" t="s">
        <v>8</v>
      </c>
      <c r="Q3" s="1" t="s">
        <v>9</v>
      </c>
    </row>
    <row r="4" spans="1:17" ht="12.75" customHeight="1">
      <c r="A4" s="592"/>
      <c r="B4" s="126">
        <v>41129</v>
      </c>
      <c r="C4" s="2" t="s">
        <v>10</v>
      </c>
      <c r="D4" s="2" t="s">
        <v>10</v>
      </c>
      <c r="E4" s="1" t="s">
        <v>10</v>
      </c>
      <c r="F4" s="1" t="s">
        <v>58</v>
      </c>
      <c r="G4" s="1" t="s">
        <v>12</v>
      </c>
      <c r="H4" s="653" t="s">
        <v>111</v>
      </c>
      <c r="I4" s="654"/>
      <c r="J4" s="654"/>
      <c r="K4" s="654"/>
      <c r="L4" s="655"/>
      <c r="M4" s="2" t="s">
        <v>10</v>
      </c>
      <c r="N4" s="2" t="s">
        <v>10</v>
      </c>
      <c r="O4" s="1" t="s">
        <v>10</v>
      </c>
      <c r="P4" s="1" t="s">
        <v>58</v>
      </c>
      <c r="Q4" s="1" t="s">
        <v>12</v>
      </c>
    </row>
    <row r="5" spans="1:17">
      <c r="A5" s="3"/>
      <c r="B5" s="4" t="s">
        <v>13</v>
      </c>
      <c r="C5" s="4"/>
      <c r="D5" s="4"/>
      <c r="E5" s="5"/>
      <c r="F5" s="5"/>
      <c r="G5" s="5"/>
      <c r="H5" s="4"/>
      <c r="I5" s="4"/>
      <c r="J5" s="5"/>
      <c r="K5" s="5"/>
      <c r="L5" s="5"/>
      <c r="M5" s="6"/>
      <c r="N5" s="6"/>
      <c r="O5" s="19"/>
      <c r="P5" s="19"/>
      <c r="Q5" s="19"/>
    </row>
    <row r="6" spans="1:17" ht="19.5" customHeight="1">
      <c r="A6" s="3">
        <v>1</v>
      </c>
      <c r="B6" s="6" t="s">
        <v>14</v>
      </c>
      <c r="C6" s="38">
        <f ca="1">+'Social Allocation Ratio'!C6</f>
        <v>3015.68</v>
      </c>
      <c r="D6" s="38">
        <f ca="1">+'Social Allocation Ratio'!D6</f>
        <v>4256.76</v>
      </c>
      <c r="E6" s="76">
        <f ca="1">+'Social Allocation Ratio'!E6</f>
        <v>4931.3500000000004</v>
      </c>
      <c r="F6" s="76">
        <f ca="1">+'Social Allocation Ratio'!F6</f>
        <v>5317.07</v>
      </c>
      <c r="G6" s="76">
        <f ca="1">+'Social Allocation Ratio'!G6</f>
        <v>6683.22</v>
      </c>
      <c r="H6" s="93">
        <v>0.1198</v>
      </c>
      <c r="I6" s="93">
        <v>0.1212</v>
      </c>
      <c r="J6" s="103">
        <v>0.1227</v>
      </c>
      <c r="K6" s="103">
        <v>0.1241</v>
      </c>
      <c r="L6" s="103">
        <v>0.1255</v>
      </c>
      <c r="M6" s="85">
        <f t="shared" ref="M6:Q17" si="0">+C6/H6</f>
        <v>25172.62103505843</v>
      </c>
      <c r="N6" s="85">
        <f t="shared" si="0"/>
        <v>35121.782178217822</v>
      </c>
      <c r="O6" s="18">
        <f t="shared" si="0"/>
        <v>40190.301548492258</v>
      </c>
      <c r="P6" s="18">
        <f t="shared" si="0"/>
        <v>42845.044319097498</v>
      </c>
      <c r="Q6" s="18">
        <f t="shared" si="0"/>
        <v>53252.749003984063</v>
      </c>
    </row>
    <row r="7" spans="1:17" ht="19.5" customHeight="1">
      <c r="A7" s="3">
        <v>2</v>
      </c>
      <c r="B7" s="6" t="s">
        <v>15</v>
      </c>
      <c r="C7" s="38">
        <f ca="1">+'Social Allocation Ratio'!C7</f>
        <v>14432.3</v>
      </c>
      <c r="D7" s="38">
        <f ca="1">+'Social Allocation Ratio'!D7</f>
        <v>16634.099999999999</v>
      </c>
      <c r="E7" s="76">
        <f ca="1">+'Social Allocation Ratio'!E7</f>
        <v>19862.009999999998</v>
      </c>
      <c r="F7" s="76">
        <f ca="1">+'Social Allocation Ratio'!F7</f>
        <v>26443.31</v>
      </c>
      <c r="G7" s="76">
        <f ca="1">+'Social Allocation Ratio'!G7</f>
        <v>33375.68</v>
      </c>
      <c r="H7" s="93">
        <v>2.9434999999999998</v>
      </c>
      <c r="I7" s="93">
        <v>2.9813999999999998</v>
      </c>
      <c r="J7" s="103">
        <v>3.0190999999999999</v>
      </c>
      <c r="K7" s="103">
        <v>3.0568</v>
      </c>
      <c r="L7" s="103">
        <v>3.0945</v>
      </c>
      <c r="M7" s="85">
        <f t="shared" si="0"/>
        <v>4903.1085442500425</v>
      </c>
      <c r="N7" s="85">
        <f t="shared" si="0"/>
        <v>5579.2916079694105</v>
      </c>
      <c r="O7" s="18">
        <f t="shared" si="0"/>
        <v>6578.7850683978668</v>
      </c>
      <c r="P7" s="18">
        <f t="shared" si="0"/>
        <v>8650.6510075896367</v>
      </c>
      <c r="Q7" s="18">
        <f t="shared" si="0"/>
        <v>10785.483923089352</v>
      </c>
    </row>
    <row r="8" spans="1:17" ht="19.5" customHeight="1">
      <c r="A8" s="3">
        <v>3</v>
      </c>
      <c r="B8" s="6" t="s">
        <v>16</v>
      </c>
      <c r="C8" s="38">
        <f ca="1">+'Social Allocation Ratio'!C8</f>
        <v>9719.19</v>
      </c>
      <c r="D8" s="38">
        <f ca="1">+'Social Allocation Ratio'!D8</f>
        <v>11534.8</v>
      </c>
      <c r="E8" s="76">
        <f ca="1">+'Social Allocation Ratio'!E8</f>
        <v>13164.12</v>
      </c>
      <c r="F8" s="76">
        <f ca="1">+'Social Allocation Ratio'!F8</f>
        <v>15261.82</v>
      </c>
      <c r="G8" s="76">
        <f ca="1">+'Social Allocation Ratio'!G8</f>
        <v>15747.62</v>
      </c>
      <c r="H8" s="93">
        <v>0.65949999999999998</v>
      </c>
      <c r="I8" s="93">
        <v>0.66620000000000001</v>
      </c>
      <c r="J8" s="103">
        <v>0.67279999999999995</v>
      </c>
      <c r="K8" s="103">
        <v>0.67930000000000001</v>
      </c>
      <c r="L8" s="103">
        <v>0.68559999999999999</v>
      </c>
      <c r="M8" s="85">
        <f t="shared" si="0"/>
        <v>14737.210007581503</v>
      </c>
      <c r="N8" s="85">
        <f t="shared" si="0"/>
        <v>17314.320024016812</v>
      </c>
      <c r="O8" s="18">
        <f t="shared" si="0"/>
        <v>19566.171224732465</v>
      </c>
      <c r="P8" s="18">
        <f t="shared" si="0"/>
        <v>22466.980715442365</v>
      </c>
      <c r="Q8" s="18">
        <f t="shared" si="0"/>
        <v>22969.107351225204</v>
      </c>
    </row>
    <row r="9" spans="1:17" ht="19.5" customHeight="1">
      <c r="A9" s="3">
        <v>4</v>
      </c>
      <c r="B9" s="6" t="s">
        <v>60</v>
      </c>
      <c r="C9" s="38">
        <f ca="1">+'Social Allocation Ratio'!C9</f>
        <v>15906.32</v>
      </c>
      <c r="D9" s="38">
        <f ca="1">+'Social Allocation Ratio'!D9</f>
        <v>17011.68</v>
      </c>
      <c r="E9" s="76">
        <f ca="1">+'Social Allocation Ratio'!E9</f>
        <v>21606.78</v>
      </c>
      <c r="F9" s="76">
        <f ca="1">+'Social Allocation Ratio'!F9</f>
        <v>24601.98</v>
      </c>
      <c r="G9" s="76">
        <f ca="1">+'Social Allocation Ratio'!G9</f>
        <v>30117.37</v>
      </c>
      <c r="H9" s="93">
        <v>1.1256999999999999</v>
      </c>
      <c r="I9" s="93">
        <v>1.1414</v>
      </c>
      <c r="J9" s="103">
        <v>1.1568000000000001</v>
      </c>
      <c r="K9" s="103">
        <v>1.1718</v>
      </c>
      <c r="L9" s="103">
        <v>1.1865000000000001</v>
      </c>
      <c r="M9" s="85">
        <f t="shared" si="0"/>
        <v>14130.159012170207</v>
      </c>
      <c r="N9" s="85">
        <f t="shared" si="0"/>
        <v>14904.222884177327</v>
      </c>
      <c r="O9" s="18">
        <f t="shared" si="0"/>
        <v>18678.060165975101</v>
      </c>
      <c r="P9" s="18">
        <f t="shared" si="0"/>
        <v>20995.033282130058</v>
      </c>
      <c r="Q9" s="18">
        <f t="shared" si="0"/>
        <v>25383.371260008425</v>
      </c>
    </row>
    <row r="10" spans="1:17" ht="19.5" customHeight="1">
      <c r="A10" s="3">
        <v>5</v>
      </c>
      <c r="B10" s="6" t="s">
        <v>18</v>
      </c>
      <c r="C10" s="38">
        <f ca="1">+'Social Allocation Ratio'!C10</f>
        <v>3408.4</v>
      </c>
      <c r="D10" s="38">
        <f ca="1">+'Social Allocation Ratio'!D10</f>
        <v>4090.16</v>
      </c>
      <c r="E10" s="76">
        <f ca="1">+'Social Allocation Ratio'!E10</f>
        <v>4609.07</v>
      </c>
      <c r="F10" s="76">
        <f ca="1">+'Social Allocation Ratio'!F10</f>
        <v>5999.86</v>
      </c>
      <c r="G10" s="76">
        <f ca="1">+'Social Allocation Ratio'!G10</f>
        <v>6725.34</v>
      </c>
      <c r="H10" s="93">
        <v>0.2364</v>
      </c>
      <c r="I10" s="93">
        <v>0.23930000000000001</v>
      </c>
      <c r="J10" s="103">
        <v>0.24210000000000001</v>
      </c>
      <c r="K10" s="103">
        <v>0.24490000000000001</v>
      </c>
      <c r="L10" s="103">
        <v>0.24779999999999999</v>
      </c>
      <c r="M10" s="85">
        <f t="shared" si="0"/>
        <v>14417.935702199662</v>
      </c>
      <c r="N10" s="85">
        <f t="shared" si="0"/>
        <v>17092.185541161722</v>
      </c>
      <c r="O10" s="18">
        <f t="shared" si="0"/>
        <v>19037.876910367613</v>
      </c>
      <c r="P10" s="18">
        <f t="shared" si="0"/>
        <v>24499.22417313189</v>
      </c>
      <c r="Q10" s="18">
        <f t="shared" si="0"/>
        <v>27140.193704600486</v>
      </c>
    </row>
    <row r="11" spans="1:17" ht="19.5" customHeight="1">
      <c r="A11" s="3">
        <v>6</v>
      </c>
      <c r="B11" s="6" t="s">
        <v>19</v>
      </c>
      <c r="C11" s="38">
        <f ca="1">+'Social Allocation Ratio'!C11</f>
        <v>2672.06</v>
      </c>
      <c r="D11" s="38">
        <f ca="1">+'Social Allocation Ratio'!D11</f>
        <v>3263.99</v>
      </c>
      <c r="E11" s="76">
        <f ca="1">+'Social Allocation Ratio'!E11</f>
        <v>3690.32</v>
      </c>
      <c r="F11" s="76">
        <f ca="1">+'Social Allocation Ratio'!F11</f>
        <v>4629.12</v>
      </c>
      <c r="G11" s="76">
        <f ca="1">+'Social Allocation Ratio'!G11</f>
        <v>5847.32</v>
      </c>
      <c r="H11" s="93">
        <v>0.253</v>
      </c>
      <c r="I11" s="93">
        <v>0.25600000000000001</v>
      </c>
      <c r="J11" s="103">
        <v>0.2591</v>
      </c>
      <c r="K11" s="103">
        <v>0.2621</v>
      </c>
      <c r="L11" s="103">
        <v>0.2651</v>
      </c>
      <c r="M11" s="85">
        <f t="shared" si="0"/>
        <v>10561.501976284584</v>
      </c>
      <c r="N11" s="85">
        <f t="shared" si="0"/>
        <v>12749.960937499998</v>
      </c>
      <c r="O11" s="18">
        <f t="shared" si="0"/>
        <v>14242.840602084138</v>
      </c>
      <c r="P11" s="18">
        <f t="shared" si="0"/>
        <v>17661.655856543304</v>
      </c>
      <c r="Q11" s="18">
        <f t="shared" si="0"/>
        <v>22057.035081101469</v>
      </c>
    </row>
    <row r="12" spans="1:17" ht="19.5" customHeight="1">
      <c r="A12" s="3">
        <v>7</v>
      </c>
      <c r="B12" s="6" t="s">
        <v>20</v>
      </c>
      <c r="C12" s="38">
        <f ca="1">+'Social Allocation Ratio'!C12</f>
        <v>2339.2600000000002</v>
      </c>
      <c r="D12" s="38">
        <f ca="1">+'Social Allocation Ratio'!D12</f>
        <v>2752.83</v>
      </c>
      <c r="E12" s="76">
        <f ca="1">+'Social Allocation Ratio'!E12</f>
        <v>4035.83</v>
      </c>
      <c r="F12" s="76">
        <f ca="1">+'Social Allocation Ratio'!F12</f>
        <v>4061.53</v>
      </c>
      <c r="G12" s="76">
        <f ca="1">+'Social Allocation Ratio'!G12</f>
        <v>4107.3599999999997</v>
      </c>
      <c r="H12" s="93">
        <v>9.7000000000000003E-2</v>
      </c>
      <c r="I12" s="93">
        <v>9.8100000000000007E-2</v>
      </c>
      <c r="J12" s="103">
        <v>9.9299999999999999E-2</v>
      </c>
      <c r="K12" s="103">
        <v>0.1004</v>
      </c>
      <c r="L12" s="103">
        <v>0.1016</v>
      </c>
      <c r="M12" s="85">
        <f t="shared" si="0"/>
        <v>24116.082474226805</v>
      </c>
      <c r="N12" s="85">
        <f t="shared" si="0"/>
        <v>28061.467889908254</v>
      </c>
      <c r="O12" s="18">
        <f t="shared" si="0"/>
        <v>40642.799597180259</v>
      </c>
      <c r="P12" s="104">
        <f t="shared" si="0"/>
        <v>40453.486055776892</v>
      </c>
      <c r="Q12" s="18">
        <f t="shared" si="0"/>
        <v>40426.771653543306</v>
      </c>
    </row>
    <row r="13" spans="1:17" ht="19.5" customHeight="1">
      <c r="A13" s="3">
        <v>8</v>
      </c>
      <c r="B13" s="6" t="s">
        <v>21</v>
      </c>
      <c r="C13" s="38">
        <f ca="1">+'Social Allocation Ratio'!C13</f>
        <v>3483.16</v>
      </c>
      <c r="D13" s="38">
        <f ca="1">+'Social Allocation Ratio'!D13</f>
        <v>3846.57</v>
      </c>
      <c r="E13" s="76">
        <f ca="1">+'Social Allocation Ratio'!E13</f>
        <v>4520.13</v>
      </c>
      <c r="F13" s="76">
        <f ca="1">+'Social Allocation Ratio'!F13</f>
        <v>5921.26</v>
      </c>
      <c r="G13" s="76">
        <f ca="1">+'Social Allocation Ratio'!G13</f>
        <v>6359.47</v>
      </c>
      <c r="H13" s="93">
        <v>0.21709999999999999</v>
      </c>
      <c r="I13" s="93">
        <v>0.21970000000000001</v>
      </c>
      <c r="J13" s="103">
        <v>0.2223</v>
      </c>
      <c r="K13" s="103">
        <v>0.22489999999999999</v>
      </c>
      <c r="L13" s="103">
        <v>0.22750000000000001</v>
      </c>
      <c r="M13" s="85">
        <f t="shared" si="0"/>
        <v>16044.035006909258</v>
      </c>
      <c r="N13" s="85">
        <f t="shared" si="0"/>
        <v>17508.284023668639</v>
      </c>
      <c r="O13" s="18">
        <f t="shared" si="0"/>
        <v>20333.468286099866</v>
      </c>
      <c r="P13" s="18">
        <f t="shared" si="0"/>
        <v>26328.412627834594</v>
      </c>
      <c r="Q13" s="18">
        <f t="shared" si="0"/>
        <v>27953.714285714286</v>
      </c>
    </row>
    <row r="14" spans="1:17" ht="19.5" customHeight="1">
      <c r="A14" s="3">
        <v>9</v>
      </c>
      <c r="B14" s="6" t="s">
        <v>22</v>
      </c>
      <c r="C14" s="38">
        <f ca="1">+'Social Allocation Ratio'!C14</f>
        <v>1562.34</v>
      </c>
      <c r="D14" s="38">
        <f ca="1">+'Social Allocation Ratio'!D14</f>
        <v>1992.58</v>
      </c>
      <c r="E14" s="76">
        <f ca="1">+'Social Allocation Ratio'!E14</f>
        <v>2514.5300000000002</v>
      </c>
      <c r="F14" s="76">
        <f ca="1">+'Social Allocation Ratio'!F14</f>
        <v>2468.73</v>
      </c>
      <c r="G14" s="76">
        <f ca="1">+'Social Allocation Ratio'!G14</f>
        <v>3393.47</v>
      </c>
      <c r="H14" s="93">
        <v>5.91E-2</v>
      </c>
      <c r="I14" s="93">
        <v>5.9799999999999999E-2</v>
      </c>
      <c r="J14" s="103">
        <v>6.0499999999999998E-2</v>
      </c>
      <c r="K14" s="103">
        <v>6.1199999999999997E-2</v>
      </c>
      <c r="L14" s="103">
        <v>6.1899999999999997E-2</v>
      </c>
      <c r="M14" s="85">
        <f t="shared" si="0"/>
        <v>26435.532994923855</v>
      </c>
      <c r="N14" s="85">
        <f t="shared" si="0"/>
        <v>33320.735785953177</v>
      </c>
      <c r="O14" s="18">
        <f t="shared" si="0"/>
        <v>41562.479338842983</v>
      </c>
      <c r="P14" s="18">
        <f t="shared" si="0"/>
        <v>40338.725490196077</v>
      </c>
      <c r="Q14" s="18">
        <f t="shared" si="0"/>
        <v>54821.809369951538</v>
      </c>
    </row>
    <row r="15" spans="1:17" ht="19.5" customHeight="1">
      <c r="A15" s="3">
        <v>10</v>
      </c>
      <c r="B15" s="6" t="s">
        <v>23</v>
      </c>
      <c r="C15" s="38">
        <f ca="1">+'Social Allocation Ratio'!C15</f>
        <v>3996.31</v>
      </c>
      <c r="D15" s="38">
        <f ca="1">+'Social Allocation Ratio'!D15</f>
        <v>4379.1899999999996</v>
      </c>
      <c r="E15" s="76">
        <f ca="1">+'Social Allocation Ratio'!E15</f>
        <v>5757.5</v>
      </c>
      <c r="F15" s="76">
        <f ca="1">+'Social Allocation Ratio'!F15</f>
        <v>5624.46</v>
      </c>
      <c r="G15" s="76">
        <f ca="1">+'Social Allocation Ratio'!G15</f>
        <v>6859.45</v>
      </c>
      <c r="H15" s="93">
        <v>0.34910000000000002</v>
      </c>
      <c r="I15" s="93">
        <v>0.35320000000000001</v>
      </c>
      <c r="J15" s="103">
        <v>0.3574</v>
      </c>
      <c r="K15" s="103">
        <v>0.36159999999999998</v>
      </c>
      <c r="L15" s="103">
        <v>0.36580000000000001</v>
      </c>
      <c r="M15" s="85">
        <f t="shared" si="0"/>
        <v>11447.464909767974</v>
      </c>
      <c r="N15" s="85">
        <f t="shared" si="0"/>
        <v>12398.612684031708</v>
      </c>
      <c r="O15" s="18">
        <f t="shared" si="0"/>
        <v>16109.401231113598</v>
      </c>
      <c r="P15" s="18">
        <f t="shared" si="0"/>
        <v>15554.369469026549</v>
      </c>
      <c r="Q15" s="18">
        <f t="shared" si="0"/>
        <v>18751.91361399672</v>
      </c>
    </row>
    <row r="16" spans="1:17" ht="19.5" customHeight="1">
      <c r="A16" s="3">
        <v>11</v>
      </c>
      <c r="B16" s="6" t="s">
        <v>24</v>
      </c>
      <c r="C16" s="38">
        <f ca="1">+'Social Allocation Ratio'!C16</f>
        <v>10486.56</v>
      </c>
      <c r="D16" s="38">
        <f ca="1">+'Social Allocation Ratio'!D16</f>
        <v>11564.65</v>
      </c>
      <c r="E16" s="76">
        <f ca="1">+'Social Allocation Ratio'!E16</f>
        <v>14196.96</v>
      </c>
      <c r="F16" s="76">
        <f ca="1">+'Social Allocation Ratio'!F16</f>
        <v>16590.759999999998</v>
      </c>
      <c r="G16" s="76">
        <f ca="1">+'Social Allocation Ratio'!G16</f>
        <v>19366.91</v>
      </c>
      <c r="H16" s="93">
        <v>0.95109999999999995</v>
      </c>
      <c r="I16" s="93">
        <v>0.96560000000000001</v>
      </c>
      <c r="J16" s="103">
        <v>0.98</v>
      </c>
      <c r="K16" s="103">
        <v>0.99429999999999996</v>
      </c>
      <c r="L16" s="103">
        <v>1.0084</v>
      </c>
      <c r="M16" s="85">
        <f t="shared" si="0"/>
        <v>11025.717590158763</v>
      </c>
      <c r="N16" s="85">
        <f t="shared" si="0"/>
        <v>11976.646644573322</v>
      </c>
      <c r="O16" s="18">
        <f t="shared" si="0"/>
        <v>14486.693877551019</v>
      </c>
      <c r="P16" s="18">
        <f t="shared" si="0"/>
        <v>16685.869455898621</v>
      </c>
      <c r="Q16" s="18">
        <f t="shared" si="0"/>
        <v>19205.583101943674</v>
      </c>
    </row>
    <row r="17" spans="1:17" s="87" customFormat="1" ht="19.5" customHeight="1">
      <c r="A17" s="84"/>
      <c r="B17" s="4" t="s">
        <v>25</v>
      </c>
      <c r="C17" s="42">
        <f t="shared" ref="C17:L17" si="1">SUM(C6:C16)</f>
        <v>71021.579999999987</v>
      </c>
      <c r="D17" s="42">
        <f t="shared" si="1"/>
        <v>81327.31</v>
      </c>
      <c r="E17" s="16">
        <f t="shared" si="1"/>
        <v>98888.6</v>
      </c>
      <c r="F17" s="16">
        <f t="shared" si="1"/>
        <v>116919.89999999998</v>
      </c>
      <c r="G17" s="16">
        <f t="shared" si="1"/>
        <v>138583.21</v>
      </c>
      <c r="H17" s="94">
        <f t="shared" si="1"/>
        <v>7.0113000000000003</v>
      </c>
      <c r="I17" s="94">
        <f t="shared" si="1"/>
        <v>7.1019000000000005</v>
      </c>
      <c r="J17" s="102">
        <f t="shared" si="1"/>
        <v>7.1920999999999999</v>
      </c>
      <c r="K17" s="102">
        <f t="shared" si="1"/>
        <v>7.2814000000000005</v>
      </c>
      <c r="L17" s="102">
        <f t="shared" si="1"/>
        <v>7.3702000000000005</v>
      </c>
      <c r="M17" s="86">
        <f t="shared" si="0"/>
        <v>10129.587950879293</v>
      </c>
      <c r="N17" s="86">
        <f t="shared" si="0"/>
        <v>11451.486221996929</v>
      </c>
      <c r="O17" s="78">
        <f t="shared" si="0"/>
        <v>13749.614159981091</v>
      </c>
      <c r="P17" s="78">
        <f t="shared" si="0"/>
        <v>16057.337874584555</v>
      </c>
      <c r="Q17" s="78">
        <f t="shared" si="0"/>
        <v>18803.181731839024</v>
      </c>
    </row>
    <row r="18" spans="1:17" ht="19.5" customHeight="1">
      <c r="A18" s="3"/>
      <c r="B18" s="4" t="s">
        <v>26</v>
      </c>
      <c r="C18" s="86"/>
      <c r="D18" s="86"/>
      <c r="E18" s="9"/>
      <c r="F18" s="9"/>
      <c r="G18" s="9"/>
      <c r="H18" s="94"/>
      <c r="I18" s="94"/>
      <c r="J18" s="102"/>
      <c r="K18" s="102"/>
      <c r="L18" s="102"/>
      <c r="M18" s="85"/>
      <c r="N18" s="85"/>
      <c r="O18" s="18"/>
      <c r="P18" s="18"/>
      <c r="Q18" s="18"/>
    </row>
    <row r="19" spans="1:17" ht="19.5" customHeight="1">
      <c r="A19" s="3">
        <v>12</v>
      </c>
      <c r="B19" s="6" t="s">
        <v>27</v>
      </c>
      <c r="C19" s="38">
        <f ca="1">+'Social Allocation Ratio'!C19</f>
        <v>69678.210000000006</v>
      </c>
      <c r="D19" s="38">
        <f ca="1">+'Social Allocation Ratio'!D19</f>
        <v>75634.05</v>
      </c>
      <c r="E19" s="76">
        <f ca="1">+'Social Allocation Ratio'!E19</f>
        <v>78830.81</v>
      </c>
      <c r="F19" s="76">
        <f ca="1">+'Social Allocation Ratio'!F19</f>
        <v>92972.36</v>
      </c>
      <c r="G19" s="76">
        <f ca="1">+'Social Allocation Ratio'!G19</f>
        <v>118832.27</v>
      </c>
      <c r="H19" s="93">
        <v>8.2375000000000007</v>
      </c>
      <c r="I19" s="93">
        <v>8.3178000000000001</v>
      </c>
      <c r="J19" s="103">
        <v>8.3963999999999999</v>
      </c>
      <c r="K19" s="103">
        <v>8.4734999999999996</v>
      </c>
      <c r="L19" s="103">
        <v>8.5490999999999993</v>
      </c>
      <c r="M19" s="85">
        <f t="shared" ref="M19:Q36" si="2">+C19/H19</f>
        <v>8458.6597875569041</v>
      </c>
      <c r="N19" s="85">
        <f t="shared" si="2"/>
        <v>9093.035418019188</v>
      </c>
      <c r="O19" s="18">
        <f t="shared" si="2"/>
        <v>9388.6439426420839</v>
      </c>
      <c r="P19" s="18">
        <f t="shared" si="2"/>
        <v>10972.131940756477</v>
      </c>
      <c r="Q19" s="18">
        <f t="shared" si="2"/>
        <v>13899.974266297038</v>
      </c>
    </row>
    <row r="20" spans="1:17" ht="19.5" customHeight="1">
      <c r="A20" s="3">
        <v>13</v>
      </c>
      <c r="B20" s="6" t="s">
        <v>28</v>
      </c>
      <c r="C20" s="38">
        <f ca="1">+'Social Allocation Ratio'!C20</f>
        <v>29939.34</v>
      </c>
      <c r="D20" s="38">
        <f ca="1">+'Social Allocation Ratio'!D20</f>
        <v>35498.980000000003</v>
      </c>
      <c r="E20" s="76">
        <f ca="1">+'Social Allocation Ratio'!E20</f>
        <v>40813.040000000001</v>
      </c>
      <c r="F20" s="76">
        <f ca="1">+'Social Allocation Ratio'!F20</f>
        <v>48514.49</v>
      </c>
      <c r="G20" s="76">
        <f ca="1">+'Social Allocation Ratio'!G20</f>
        <v>62417.97</v>
      </c>
      <c r="H20" s="93">
        <v>9.3633000000000006</v>
      </c>
      <c r="I20" s="93">
        <v>9.5025999999999993</v>
      </c>
      <c r="J20" s="103">
        <v>9.6388999999999996</v>
      </c>
      <c r="K20" s="103">
        <v>9.7720000000000002</v>
      </c>
      <c r="L20" s="103">
        <v>9.9019999999999992</v>
      </c>
      <c r="M20" s="85">
        <f t="shared" si="2"/>
        <v>3197.5201050911537</v>
      </c>
      <c r="N20" s="85">
        <f t="shared" si="2"/>
        <v>3735.7123313619436</v>
      </c>
      <c r="O20" s="18">
        <f t="shared" si="2"/>
        <v>4234.2009980391958</v>
      </c>
      <c r="P20" s="18">
        <f t="shared" si="2"/>
        <v>4964.6428571428569</v>
      </c>
      <c r="Q20" s="18">
        <f t="shared" si="2"/>
        <v>6303.5720056554237</v>
      </c>
    </row>
    <row r="21" spans="1:17" ht="19.5" customHeight="1">
      <c r="A21" s="3">
        <v>14</v>
      </c>
      <c r="B21" s="6" t="s">
        <v>29</v>
      </c>
      <c r="C21" s="38">
        <f ca="1">+'Social Allocation Ratio'!C21</f>
        <v>13970.54</v>
      </c>
      <c r="D21" s="38">
        <f ca="1">+'Social Allocation Ratio'!D21</f>
        <v>17226.07</v>
      </c>
      <c r="E21" s="76">
        <f ca="1">+'Social Allocation Ratio'!E21</f>
        <v>20910.439999999999</v>
      </c>
      <c r="F21" s="76">
        <f ca="1">+'Social Allocation Ratio'!F21</f>
        <v>22876.15</v>
      </c>
      <c r="G21" s="76">
        <f ca="1">+'Social Allocation Ratio'!G21</f>
        <v>30725.96</v>
      </c>
      <c r="H21" s="93">
        <v>2.3269000000000002</v>
      </c>
      <c r="I21" s="93">
        <v>2.36</v>
      </c>
      <c r="J21" s="103">
        <v>2.3929</v>
      </c>
      <c r="K21" s="103">
        <v>2.4258000000000002</v>
      </c>
      <c r="L21" s="103">
        <v>2.4584999999999999</v>
      </c>
      <c r="M21" s="85">
        <f t="shared" si="2"/>
        <v>6003.9279728394004</v>
      </c>
      <c r="N21" s="85">
        <f t="shared" si="2"/>
        <v>7299.1822033898306</v>
      </c>
      <c r="O21" s="18">
        <f t="shared" si="2"/>
        <v>8738.5348322119589</v>
      </c>
      <c r="P21" s="18">
        <f t="shared" si="2"/>
        <v>9430.3528732789182</v>
      </c>
      <c r="Q21" s="18">
        <f t="shared" si="2"/>
        <v>12497.848281472443</v>
      </c>
    </row>
    <row r="22" spans="1:17" s="20" customFormat="1" ht="19.5" customHeight="1">
      <c r="A22" s="3">
        <v>15</v>
      </c>
      <c r="B22" s="6" t="s">
        <v>30</v>
      </c>
      <c r="C22" s="38">
        <f ca="1">+'Social Allocation Ratio'!C22</f>
        <v>2826.47</v>
      </c>
      <c r="D22" s="38">
        <f ca="1">+'Social Allocation Ratio'!D22</f>
        <v>3647.92</v>
      </c>
      <c r="E22" s="76">
        <f ca="1">+'Social Allocation Ratio'!E22</f>
        <v>4556.07</v>
      </c>
      <c r="F22" s="76">
        <f ca="1">+'Social Allocation Ratio'!F22</f>
        <v>5277.39</v>
      </c>
      <c r="G22" s="76">
        <f ca="1">+'Social Allocation Ratio'!G22</f>
        <v>5824.92</v>
      </c>
      <c r="H22" s="93">
        <v>0.15959999999999999</v>
      </c>
      <c r="I22" s="93">
        <v>0.16550000000000001</v>
      </c>
      <c r="J22" s="103">
        <v>0.1714</v>
      </c>
      <c r="K22" s="103">
        <v>0.1767</v>
      </c>
      <c r="L22" s="103">
        <v>0.1817</v>
      </c>
      <c r="M22" s="85">
        <f t="shared" si="2"/>
        <v>17709.711779448622</v>
      </c>
      <c r="N22" s="85">
        <f t="shared" si="2"/>
        <v>22041.812688821752</v>
      </c>
      <c r="O22" s="18">
        <f t="shared" si="2"/>
        <v>26581.505250875143</v>
      </c>
      <c r="P22" s="18">
        <f t="shared" si="2"/>
        <v>29866.383701188457</v>
      </c>
      <c r="Q22" s="18">
        <f t="shared" si="2"/>
        <v>32057.897633461751</v>
      </c>
    </row>
    <row r="23" spans="1:17" ht="19.5" customHeight="1">
      <c r="A23" s="3">
        <v>16</v>
      </c>
      <c r="B23" s="6" t="s">
        <v>31</v>
      </c>
      <c r="C23" s="38">
        <f ca="1">+'Social Allocation Ratio'!C23</f>
        <v>39734.589999999997</v>
      </c>
      <c r="D23" s="38">
        <f ca="1">+'Social Allocation Ratio'!D23</f>
        <v>48031.34</v>
      </c>
      <c r="E23" s="76">
        <f ca="1">+'Social Allocation Ratio'!E23</f>
        <v>55750.46</v>
      </c>
      <c r="F23" s="76">
        <f ca="1">+'Social Allocation Ratio'!F23</f>
        <v>65157.7</v>
      </c>
      <c r="G23" s="76">
        <f ca="1">+'Social Allocation Ratio'!G23</f>
        <v>73856.38</v>
      </c>
      <c r="H23" s="93">
        <v>5.6626000000000003</v>
      </c>
      <c r="I23" s="93">
        <v>5.7434000000000003</v>
      </c>
      <c r="J23" s="103">
        <v>5.8231999999999999</v>
      </c>
      <c r="K23" s="103">
        <v>5.9020000000000001</v>
      </c>
      <c r="L23" s="103">
        <v>5.98</v>
      </c>
      <c r="M23" s="85">
        <f t="shared" si="2"/>
        <v>7017.0222159432051</v>
      </c>
      <c r="N23" s="85">
        <f t="shared" si="2"/>
        <v>8362.8756485705326</v>
      </c>
      <c r="O23" s="18">
        <f t="shared" si="2"/>
        <v>9573.8528644044509</v>
      </c>
      <c r="P23" s="18">
        <f t="shared" si="2"/>
        <v>11039.935615045746</v>
      </c>
      <c r="Q23" s="18">
        <f t="shared" si="2"/>
        <v>12350.565217391304</v>
      </c>
    </row>
    <row r="24" spans="1:17" ht="19.5" customHeight="1">
      <c r="A24" s="3">
        <v>17</v>
      </c>
      <c r="B24" s="6" t="s">
        <v>32</v>
      </c>
      <c r="C24" s="38">
        <f ca="1">+'Social Allocation Ratio'!C24</f>
        <v>21240</v>
      </c>
      <c r="D24" s="38">
        <f ca="1">+'Social Allocation Ratio'!D24</f>
        <v>25369</v>
      </c>
      <c r="E24" s="76">
        <f ca="1">+'Social Allocation Ratio'!E24</f>
        <v>31305</v>
      </c>
      <c r="F24" s="76">
        <f ca="1">+'Social Allocation Ratio'!F24</f>
        <v>33063</v>
      </c>
      <c r="G24" s="76">
        <f ca="1">+'Social Allocation Ratio'!G24</f>
        <v>40276</v>
      </c>
      <c r="H24" s="93">
        <v>2.4171</v>
      </c>
      <c r="I24" s="93">
        <v>2.4597000000000002</v>
      </c>
      <c r="J24" s="103">
        <v>2.5019999999999998</v>
      </c>
      <c r="K24" s="103">
        <v>2.5438999999999998</v>
      </c>
      <c r="L24" s="103">
        <v>2.5853999999999999</v>
      </c>
      <c r="M24" s="85">
        <f t="shared" si="2"/>
        <v>8787.3898473377194</v>
      </c>
      <c r="N24" s="85">
        <f t="shared" si="2"/>
        <v>10313.859413749644</v>
      </c>
      <c r="O24" s="18">
        <f t="shared" si="2"/>
        <v>12511.990407673862</v>
      </c>
      <c r="P24" s="18">
        <f t="shared" si="2"/>
        <v>12996.973151460357</v>
      </c>
      <c r="Q24" s="18">
        <f t="shared" si="2"/>
        <v>15578.247079755551</v>
      </c>
    </row>
    <row r="25" spans="1:17" ht="19.5" customHeight="1">
      <c r="A25" s="3">
        <v>18</v>
      </c>
      <c r="B25" s="6" t="s">
        <v>33</v>
      </c>
      <c r="C25" s="38">
        <f ca="1">+'Social Allocation Ratio'!C25</f>
        <v>14013.17</v>
      </c>
      <c r="D25" s="38">
        <f ca="1">+'Social Allocation Ratio'!D25</f>
        <v>16346.39</v>
      </c>
      <c r="E25" s="76">
        <f ca="1">+'Social Allocation Ratio'!E25</f>
        <v>18151.3</v>
      </c>
      <c r="F25" s="76">
        <f ca="1">+'Social Allocation Ratio'!F25</f>
        <v>20916.599999999999</v>
      </c>
      <c r="G25" s="76">
        <f ca="1">+'Social Allocation Ratio'!G25</f>
        <v>30499.64</v>
      </c>
      <c r="H25" s="93">
        <v>3.0181</v>
      </c>
      <c r="I25" s="93">
        <v>3.0611000000000002</v>
      </c>
      <c r="J25" s="103">
        <v>3.1040000000000001</v>
      </c>
      <c r="K25" s="103">
        <v>3.1472000000000002</v>
      </c>
      <c r="L25" s="103">
        <v>3.1903999999999999</v>
      </c>
      <c r="M25" s="85">
        <f t="shared" si="2"/>
        <v>4643.0436367250923</v>
      </c>
      <c r="N25" s="85">
        <f t="shared" si="2"/>
        <v>5340.037894874391</v>
      </c>
      <c r="O25" s="18">
        <f t="shared" si="2"/>
        <v>5847.7126288659792</v>
      </c>
      <c r="P25" s="18">
        <f t="shared" si="2"/>
        <v>6646.0981189628865</v>
      </c>
      <c r="Q25" s="18">
        <f t="shared" si="2"/>
        <v>9559.8169508525571</v>
      </c>
    </row>
    <row r="26" spans="1:17" ht="19.5" customHeight="1">
      <c r="A26" s="3">
        <v>19</v>
      </c>
      <c r="B26" s="6" t="s">
        <v>34</v>
      </c>
      <c r="C26" s="38">
        <f ca="1">+'Social Allocation Ratio'!C26</f>
        <v>46780</v>
      </c>
      <c r="D26" s="38">
        <f ca="1">+'Social Allocation Ratio'!D26</f>
        <v>52261</v>
      </c>
      <c r="E26" s="76">
        <f ca="1">+'Social Allocation Ratio'!E26</f>
        <v>60655</v>
      </c>
      <c r="F26" s="76">
        <f ca="1">+'Social Allocation Ratio'!F26</f>
        <v>69127</v>
      </c>
      <c r="G26" s="76">
        <f ca="1">+'Social Allocation Ratio'!G26</f>
        <v>80857</v>
      </c>
      <c r="H26" s="93">
        <v>5.7549999999999999</v>
      </c>
      <c r="I26" s="93">
        <v>5.8181000000000003</v>
      </c>
      <c r="J26" s="103">
        <v>5.8803999999999998</v>
      </c>
      <c r="K26" s="103">
        <v>5.9419000000000004</v>
      </c>
      <c r="L26" s="103">
        <v>6.0026000000000002</v>
      </c>
      <c r="M26" s="85">
        <f t="shared" si="2"/>
        <v>8128.5838401390101</v>
      </c>
      <c r="N26" s="85">
        <f t="shared" si="2"/>
        <v>8982.4856912050327</v>
      </c>
      <c r="O26" s="18">
        <f t="shared" si="2"/>
        <v>10314.774505135705</v>
      </c>
      <c r="P26" s="18">
        <f t="shared" si="2"/>
        <v>11633.820831720494</v>
      </c>
      <c r="Q26" s="18">
        <f t="shared" si="2"/>
        <v>13470.329523872988</v>
      </c>
    </row>
    <row r="27" spans="1:17" ht="19.5" customHeight="1">
      <c r="A27" s="3">
        <v>20</v>
      </c>
      <c r="B27" s="6" t="s">
        <v>35</v>
      </c>
      <c r="C27" s="38">
        <f ca="1">+'Social Allocation Ratio'!C27</f>
        <v>27259.37</v>
      </c>
      <c r="D27" s="38">
        <f ca="1">+'Social Allocation Ratio'!D27</f>
        <v>30903.15</v>
      </c>
      <c r="E27" s="76">
        <f ca="1">+'Social Allocation Ratio'!E27</f>
        <v>34068.44</v>
      </c>
      <c r="F27" s="76">
        <f ca="1">+'Social Allocation Ratio'!F27</f>
        <v>38790.239999999998</v>
      </c>
      <c r="G27" s="76">
        <f ca="1">+'Social Allocation Ratio'!G27</f>
        <v>50025.24</v>
      </c>
      <c r="H27" s="93">
        <v>3.3801999999999999</v>
      </c>
      <c r="I27" s="93">
        <v>3.4062999999999999</v>
      </c>
      <c r="J27" s="103">
        <v>3.4317000000000002</v>
      </c>
      <c r="K27" s="103">
        <v>3.4563000000000001</v>
      </c>
      <c r="L27" s="103">
        <v>3.4802</v>
      </c>
      <c r="M27" s="85">
        <f t="shared" si="2"/>
        <v>8064.4251819418969</v>
      </c>
      <c r="N27" s="85">
        <f t="shared" si="2"/>
        <v>9072.3512315415555</v>
      </c>
      <c r="O27" s="18">
        <f t="shared" si="2"/>
        <v>9927.5694262318975</v>
      </c>
      <c r="P27" s="18">
        <f t="shared" si="2"/>
        <v>11223.053554378959</v>
      </c>
      <c r="Q27" s="18">
        <f t="shared" si="2"/>
        <v>14374.242859605769</v>
      </c>
    </row>
    <row r="28" spans="1:17" ht="19.5" customHeight="1">
      <c r="A28" s="3">
        <v>21</v>
      </c>
      <c r="B28" s="6" t="s">
        <v>36</v>
      </c>
      <c r="C28" s="38">
        <f ca="1">+'Social Allocation Ratio'!C28</f>
        <v>33590.75</v>
      </c>
      <c r="D28" s="38">
        <f ca="1">+'Social Allocation Ratio'!D28</f>
        <v>38089.22</v>
      </c>
      <c r="E28" s="76">
        <f ca="1">+'Social Allocation Ratio'!E28</f>
        <v>47638.66</v>
      </c>
      <c r="F28" s="76">
        <f ca="1">+'Social Allocation Ratio'!F28</f>
        <v>57528.05</v>
      </c>
      <c r="G28" s="76">
        <f ca="1">+'Social Allocation Ratio'!G28</f>
        <v>65845.64</v>
      </c>
      <c r="H28" s="93">
        <v>6.8737000000000004</v>
      </c>
      <c r="I28" s="93">
        <v>6.9897</v>
      </c>
      <c r="J28" s="103">
        <v>7.1050000000000004</v>
      </c>
      <c r="K28" s="103">
        <v>7.22</v>
      </c>
      <c r="L28" s="103">
        <v>7.3343999999999996</v>
      </c>
      <c r="M28" s="85">
        <f t="shared" si="2"/>
        <v>4886.8513318882115</v>
      </c>
      <c r="N28" s="85">
        <f t="shared" si="2"/>
        <v>5449.3354507346521</v>
      </c>
      <c r="O28" s="18">
        <f t="shared" si="2"/>
        <v>6704.9486277269525</v>
      </c>
      <c r="P28" s="18">
        <f t="shared" si="2"/>
        <v>7967.8739612188374</v>
      </c>
      <c r="Q28" s="18">
        <f t="shared" si="2"/>
        <v>8977.645069808028</v>
      </c>
    </row>
    <row r="29" spans="1:17" ht="19.5" customHeight="1">
      <c r="A29" s="3">
        <v>22</v>
      </c>
      <c r="B29" s="6" t="s">
        <v>37</v>
      </c>
      <c r="C29" s="38">
        <f ca="1">+'Social Allocation Ratio'!C29</f>
        <v>77494.820000000007</v>
      </c>
      <c r="D29" s="38">
        <f ca="1">+'Social Allocation Ratio'!D29</f>
        <v>95847.679999999993</v>
      </c>
      <c r="E29" s="76">
        <f ca="1">+'Social Allocation Ratio'!E29</f>
        <v>113605.54</v>
      </c>
      <c r="F29" s="76">
        <f ca="1">+'Social Allocation Ratio'!F29</f>
        <v>125381.73</v>
      </c>
      <c r="G29" s="76">
        <f ca="1">+'Social Allocation Ratio'!G29</f>
        <v>146731</v>
      </c>
      <c r="H29" s="93">
        <v>10.7972</v>
      </c>
      <c r="I29" s="93">
        <v>10.955299999999999</v>
      </c>
      <c r="J29" s="103">
        <v>11.111800000000001</v>
      </c>
      <c r="K29" s="103">
        <v>11.266</v>
      </c>
      <c r="L29" s="103">
        <v>11.4184</v>
      </c>
      <c r="M29" s="85">
        <f t="shared" si="2"/>
        <v>7177.3070796132333</v>
      </c>
      <c r="N29" s="85">
        <f t="shared" si="2"/>
        <v>8748.9781201792739</v>
      </c>
      <c r="O29" s="18">
        <f t="shared" si="2"/>
        <v>10223.864720387335</v>
      </c>
      <c r="P29" s="18">
        <f t="shared" si="2"/>
        <v>11129.214450559204</v>
      </c>
      <c r="Q29" s="18">
        <f t="shared" si="2"/>
        <v>12850.399355426329</v>
      </c>
    </row>
    <row r="30" spans="1:17" ht="19.5" customHeight="1">
      <c r="A30" s="3">
        <v>23</v>
      </c>
      <c r="B30" s="6" t="s">
        <v>104</v>
      </c>
      <c r="C30" s="38">
        <f ca="1">+'Social Allocation Ratio'!C30</f>
        <v>20999.360000000001</v>
      </c>
      <c r="D30" s="38">
        <f ca="1">+'Social Allocation Ratio'!D30</f>
        <v>25180.26</v>
      </c>
      <c r="E30" s="76">
        <f ca="1">+'Social Allocation Ratio'!E30</f>
        <v>29042.63</v>
      </c>
      <c r="F30" s="76">
        <f ca="1">+'Social Allocation Ratio'!F30</f>
        <v>33967.74</v>
      </c>
      <c r="G30" s="76">
        <f ca="1">+'Social Allocation Ratio'!G30</f>
        <v>42640.36</v>
      </c>
      <c r="H30" s="93">
        <v>3.9655</v>
      </c>
      <c r="I30" s="93">
        <v>4.0025000000000004</v>
      </c>
      <c r="J30" s="103">
        <v>4.0388999999999999</v>
      </c>
      <c r="K30" s="103">
        <v>4.0750000000000002</v>
      </c>
      <c r="L30" s="103">
        <v>4.1105</v>
      </c>
      <c r="M30" s="85">
        <f t="shared" si="2"/>
        <v>5295.5138065817682</v>
      </c>
      <c r="N30" s="85">
        <f t="shared" si="2"/>
        <v>6291.1330418488433</v>
      </c>
      <c r="O30" s="18">
        <f t="shared" si="2"/>
        <v>7190.7276733764147</v>
      </c>
      <c r="P30" s="18">
        <f t="shared" si="2"/>
        <v>8335.64171779141</v>
      </c>
      <c r="Q30" s="18">
        <f t="shared" si="2"/>
        <v>10373.521469407615</v>
      </c>
    </row>
    <row r="31" spans="1:17" s="20" customFormat="1" ht="19.5" customHeight="1">
      <c r="A31" s="3">
        <v>24</v>
      </c>
      <c r="B31" s="6" t="s">
        <v>39</v>
      </c>
      <c r="C31" s="38">
        <f ca="1">+'Social Allocation Ratio'!C31</f>
        <v>25287.31</v>
      </c>
      <c r="D31" s="38">
        <f ca="1">+'Social Allocation Ratio'!D31</f>
        <v>27481.99</v>
      </c>
      <c r="E31" s="76">
        <f ca="1">+'Social Allocation Ratio'!E31</f>
        <v>29603.19</v>
      </c>
      <c r="F31" s="76">
        <f ca="1">+'Social Allocation Ratio'!F31</f>
        <v>35349.67</v>
      </c>
      <c r="G31" s="76">
        <f ca="1">+'Social Allocation Ratio'!G31</f>
        <v>40908.44</v>
      </c>
      <c r="H31" s="93">
        <v>2.6722000000000001</v>
      </c>
      <c r="I31" s="93">
        <v>2.7048000000000001</v>
      </c>
      <c r="J31" s="103">
        <v>2.7368000000000001</v>
      </c>
      <c r="K31" s="103">
        <v>2.7677999999999998</v>
      </c>
      <c r="L31" s="103">
        <v>2.7980999999999998</v>
      </c>
      <c r="M31" s="85">
        <f t="shared" si="2"/>
        <v>9463.1053064890348</v>
      </c>
      <c r="N31" s="85">
        <f t="shared" si="2"/>
        <v>10160.451789411418</v>
      </c>
      <c r="O31" s="18">
        <f t="shared" si="2"/>
        <v>10816.716603332357</v>
      </c>
      <c r="P31" s="18">
        <f t="shared" si="2"/>
        <v>12771.757352409857</v>
      </c>
      <c r="Q31" s="18">
        <f t="shared" si="2"/>
        <v>14620.077910010366</v>
      </c>
    </row>
    <row r="32" spans="1:17" ht="19.5" customHeight="1">
      <c r="A32" s="3">
        <v>25</v>
      </c>
      <c r="B32" s="6" t="s">
        <v>40</v>
      </c>
      <c r="C32" s="38">
        <f ca="1">+'Social Allocation Ratio'!C32</f>
        <v>35970.89</v>
      </c>
      <c r="D32" s="38">
        <f ca="1">+'Social Allocation Ratio'!D32</f>
        <v>40535.61</v>
      </c>
      <c r="E32" s="76">
        <f ca="1">+'Social Allocation Ratio'!E32</f>
        <v>45804.74</v>
      </c>
      <c r="F32" s="76">
        <f ca="1">+'Social Allocation Ratio'!F32</f>
        <v>50386.080000000002</v>
      </c>
      <c r="G32" s="76">
        <f ca="1">+'Social Allocation Ratio'!G32</f>
        <v>60524.46</v>
      </c>
      <c r="H32" s="93">
        <v>6.4534000000000002</v>
      </c>
      <c r="I32" s="93">
        <v>6.5650000000000004</v>
      </c>
      <c r="J32" s="103">
        <v>6.6749999999999998</v>
      </c>
      <c r="K32" s="103">
        <v>6.7830000000000004</v>
      </c>
      <c r="L32" s="103">
        <v>6.8891999999999998</v>
      </c>
      <c r="M32" s="85">
        <f t="shared" si="2"/>
        <v>5573.943967520996</v>
      </c>
      <c r="N32" s="85">
        <f t="shared" si="2"/>
        <v>6174.50266565118</v>
      </c>
      <c r="O32" s="18">
        <f t="shared" si="2"/>
        <v>6862.1333333333332</v>
      </c>
      <c r="P32" s="18">
        <f t="shared" si="2"/>
        <v>7428.2883679787701</v>
      </c>
      <c r="Q32" s="18">
        <f t="shared" si="2"/>
        <v>8785.4119491377805</v>
      </c>
    </row>
    <row r="33" spans="1:17" ht="19.5" customHeight="1">
      <c r="A33" s="3">
        <v>26</v>
      </c>
      <c r="B33" s="6" t="s">
        <v>41</v>
      </c>
      <c r="C33" s="38">
        <f ca="1">+'Social Allocation Ratio'!C33</f>
        <v>52218.8</v>
      </c>
      <c r="D33" s="38">
        <f ca="1">+'Social Allocation Ratio'!D33</f>
        <v>65524.5</v>
      </c>
      <c r="E33" s="76">
        <f ca="1">+'Social Allocation Ratio'!E33</f>
        <v>70238.490000000005</v>
      </c>
      <c r="F33" s="76">
        <f ca="1">+'Social Allocation Ratio'!F33</f>
        <v>87604.49</v>
      </c>
      <c r="G33" s="76">
        <f ca="1">+'Social Allocation Ratio'!G33</f>
        <v>98407.2</v>
      </c>
      <c r="H33" s="93">
        <v>6.6105999999999998</v>
      </c>
      <c r="I33" s="93">
        <v>6.6566000000000001</v>
      </c>
      <c r="J33" s="103">
        <v>6.7012</v>
      </c>
      <c r="K33" s="103">
        <v>6.7443999999999997</v>
      </c>
      <c r="L33" s="103">
        <v>6.7862</v>
      </c>
      <c r="M33" s="85">
        <f t="shared" si="2"/>
        <v>7899.2527153359761</v>
      </c>
      <c r="N33" s="85">
        <f t="shared" si="2"/>
        <v>9843.5387435026896</v>
      </c>
      <c r="O33" s="18">
        <f t="shared" si="2"/>
        <v>10481.479436518834</v>
      </c>
      <c r="P33" s="18">
        <f t="shared" si="2"/>
        <v>12989.219204080424</v>
      </c>
      <c r="Q33" s="18">
        <f t="shared" si="2"/>
        <v>14501.075712475316</v>
      </c>
    </row>
    <row r="34" spans="1:17" ht="19.5" customHeight="1">
      <c r="A34" s="3">
        <v>27</v>
      </c>
      <c r="B34" s="6" t="s">
        <v>42</v>
      </c>
      <c r="C34" s="38">
        <f ca="1">+'Social Allocation Ratio'!C34</f>
        <v>82915.55</v>
      </c>
      <c r="D34" s="38">
        <f ca="1">+'Social Allocation Ratio'!D34</f>
        <v>99121.62</v>
      </c>
      <c r="E34" s="76">
        <f ca="1">+'Social Allocation Ratio'!E34</f>
        <v>115406.69</v>
      </c>
      <c r="F34" s="76">
        <f ca="1">+'Social Allocation Ratio'!F34</f>
        <v>128916.63</v>
      </c>
      <c r="G34" s="76">
        <f ca="1">+'Social Allocation Ratio'!G34</f>
        <v>156845.41</v>
      </c>
      <c r="H34" s="93">
        <v>19.025400000000001</v>
      </c>
      <c r="I34" s="93">
        <v>19.376300000000001</v>
      </c>
      <c r="J34" s="103">
        <v>19.7271</v>
      </c>
      <c r="K34" s="103">
        <v>20.0764</v>
      </c>
      <c r="L34" s="103">
        <v>20.425000000000001</v>
      </c>
      <c r="M34" s="85">
        <f t="shared" si="2"/>
        <v>4358.1501571583249</v>
      </c>
      <c r="N34" s="85">
        <f t="shared" si="2"/>
        <v>5115.6113396262444</v>
      </c>
      <c r="O34" s="18">
        <f t="shared" si="2"/>
        <v>5850.1599322759048</v>
      </c>
      <c r="P34" s="18">
        <f t="shared" si="2"/>
        <v>6421.3021258791423</v>
      </c>
      <c r="Q34" s="18">
        <f t="shared" si="2"/>
        <v>7679.0898408812727</v>
      </c>
    </row>
    <row r="35" spans="1:17" ht="19.5" customHeight="1">
      <c r="A35" s="3">
        <v>28</v>
      </c>
      <c r="B35" s="6" t="s">
        <v>43</v>
      </c>
      <c r="C35" s="38">
        <f ca="1">+'Social Allocation Ratio'!C35</f>
        <v>42064.28</v>
      </c>
      <c r="D35" s="38">
        <f ca="1">+'Social Allocation Ratio'!D35</f>
        <v>56078.26</v>
      </c>
      <c r="E35" s="76">
        <f ca="1">+'Social Allocation Ratio'!E35</f>
        <v>62263.38</v>
      </c>
      <c r="F35" s="76">
        <f ca="1">+'Social Allocation Ratio'!F35</f>
        <v>67207.649999999994</v>
      </c>
      <c r="G35" s="76">
        <f ca="1">+'Social Allocation Ratio'!G35</f>
        <v>81572.63</v>
      </c>
      <c r="H35" s="93">
        <v>8.6995000000000005</v>
      </c>
      <c r="I35" s="93">
        <v>8.7838999999999992</v>
      </c>
      <c r="J35" s="103">
        <v>8.8668999999999993</v>
      </c>
      <c r="K35" s="103">
        <v>8.9498999999999995</v>
      </c>
      <c r="L35" s="103">
        <v>9.032</v>
      </c>
      <c r="M35" s="85">
        <f t="shared" si="2"/>
        <v>4835.2526007241795</v>
      </c>
      <c r="N35" s="85">
        <f t="shared" si="2"/>
        <v>6384.209747378728</v>
      </c>
      <c r="O35" s="18">
        <f t="shared" si="2"/>
        <v>7022.0009247876942</v>
      </c>
      <c r="P35" s="18">
        <f t="shared" si="2"/>
        <v>7509.3185398719534</v>
      </c>
      <c r="Q35" s="18">
        <f t="shared" si="2"/>
        <v>9031.5135075287872</v>
      </c>
    </row>
    <row r="36" spans="1:17" s="87" customFormat="1" ht="19.5" customHeight="1">
      <c r="A36" s="84"/>
      <c r="B36" s="4" t="s">
        <v>44</v>
      </c>
      <c r="C36" s="42">
        <f t="shared" ref="C36:L36" si="3">SUM(C19:C35)</f>
        <v>635983.45000000007</v>
      </c>
      <c r="D36" s="42">
        <f t="shared" si="3"/>
        <v>752777.04</v>
      </c>
      <c r="E36" s="16">
        <f t="shared" si="3"/>
        <v>858643.87999999977</v>
      </c>
      <c r="F36" s="16">
        <f t="shared" si="3"/>
        <v>983036.97</v>
      </c>
      <c r="G36" s="16">
        <f t="shared" si="3"/>
        <v>1186790.52</v>
      </c>
      <c r="H36" s="94">
        <f t="shared" si="3"/>
        <v>105.41780000000001</v>
      </c>
      <c r="I36" s="94">
        <f t="shared" si="3"/>
        <v>106.8686</v>
      </c>
      <c r="J36" s="102">
        <f t="shared" si="3"/>
        <v>108.3036</v>
      </c>
      <c r="K36" s="102">
        <f t="shared" si="3"/>
        <v>109.72179999999999</v>
      </c>
      <c r="L36" s="102">
        <f t="shared" si="3"/>
        <v>111.12369999999999</v>
      </c>
      <c r="M36" s="86">
        <f t="shared" si="2"/>
        <v>6032.9797244867568</v>
      </c>
      <c r="N36" s="86">
        <f t="shared" si="2"/>
        <v>7043.9496727757269</v>
      </c>
      <c r="O36" s="78">
        <f t="shared" si="2"/>
        <v>7928.1194715595766</v>
      </c>
      <c r="P36" s="78">
        <f t="shared" si="2"/>
        <v>8959.3587600640894</v>
      </c>
      <c r="Q36" s="78">
        <f t="shared" si="2"/>
        <v>10679.904646803519</v>
      </c>
    </row>
    <row r="37" spans="1:17" ht="19.5" customHeight="1">
      <c r="A37" s="3"/>
      <c r="B37" s="4" t="s">
        <v>45</v>
      </c>
      <c r="C37" s="86"/>
      <c r="D37" s="86"/>
      <c r="E37" s="9"/>
      <c r="F37" s="9"/>
      <c r="G37" s="9"/>
      <c r="H37" s="94"/>
      <c r="I37" s="94"/>
      <c r="J37" s="102"/>
      <c r="K37" s="102"/>
      <c r="L37" s="102"/>
      <c r="M37" s="85"/>
      <c r="N37" s="85"/>
      <c r="O37" s="18"/>
      <c r="P37" s="18"/>
      <c r="Q37" s="18"/>
    </row>
    <row r="38" spans="1:17" ht="19.5" customHeight="1">
      <c r="A38" s="3">
        <v>29</v>
      </c>
      <c r="B38" s="6" t="s">
        <v>46</v>
      </c>
      <c r="C38" s="38">
        <f ca="1">+'Social Allocation Ratio'!C38</f>
        <v>18159.63</v>
      </c>
      <c r="D38" s="38">
        <f ca="1">+'Social Allocation Ratio'!D38</f>
        <v>20361.310000000001</v>
      </c>
      <c r="E38" s="76">
        <f ca="1">+'Social Allocation Ratio'!E38</f>
        <v>24925.919999999998</v>
      </c>
      <c r="F38" s="76">
        <f ca="1">+'Social Allocation Ratio'!F38</f>
        <v>25524.32</v>
      </c>
      <c r="G38" s="76">
        <f ca="1">+'Social Allocation Ratio'!G38</f>
        <v>27920</v>
      </c>
      <c r="H38" s="93">
        <v>1.6955</v>
      </c>
      <c r="I38" s="93">
        <v>1.7437</v>
      </c>
      <c r="J38" s="103">
        <v>1.7935000000000001</v>
      </c>
      <c r="K38" s="103">
        <v>1.8451</v>
      </c>
      <c r="L38" s="103">
        <v>1.8983000000000001</v>
      </c>
      <c r="M38" s="85">
        <f t="shared" ref="M38:Q40" si="4">+C38/H38</f>
        <v>10710.486582129166</v>
      </c>
      <c r="N38" s="85">
        <f t="shared" si="4"/>
        <v>11677.071743992659</v>
      </c>
      <c r="O38" s="18">
        <f t="shared" si="4"/>
        <v>13897.920267633119</v>
      </c>
      <c r="P38" s="18">
        <f t="shared" si="4"/>
        <v>13833.569996206168</v>
      </c>
      <c r="Q38" s="18">
        <f t="shared" si="4"/>
        <v>14707.896539008585</v>
      </c>
    </row>
    <row r="39" spans="1:17" ht="19.5" customHeight="1">
      <c r="A39" s="3">
        <v>30</v>
      </c>
      <c r="B39" s="6" t="s">
        <v>47</v>
      </c>
      <c r="C39" s="38">
        <f ca="1">+'Social Allocation Ratio'!C39</f>
        <v>2595</v>
      </c>
      <c r="D39" s="38">
        <f ca="1">+'Social Allocation Ratio'!D39</f>
        <v>2957</v>
      </c>
      <c r="E39" s="76">
        <f ca="1">+'Social Allocation Ratio'!E39</f>
        <v>3586</v>
      </c>
      <c r="F39" s="76">
        <f ca="1">+'Social Allocation Ratio'!F39</f>
        <v>4091</v>
      </c>
      <c r="G39" s="76">
        <f ca="1">+'Social Allocation Ratio'!G39</f>
        <v>4828</v>
      </c>
      <c r="H39" s="93">
        <v>0.12039999999999999</v>
      </c>
      <c r="I39" s="93">
        <v>0.12670000000000001</v>
      </c>
      <c r="J39" s="103">
        <v>0.1331</v>
      </c>
      <c r="K39" s="103">
        <v>0.1391</v>
      </c>
      <c r="L39" s="103">
        <v>0.14510000000000001</v>
      </c>
      <c r="M39" s="85">
        <f t="shared" si="4"/>
        <v>21553.156146179404</v>
      </c>
      <c r="N39" s="85">
        <f t="shared" si="4"/>
        <v>23338.595106550907</v>
      </c>
      <c r="O39" s="18">
        <f t="shared" si="4"/>
        <v>26942.14876033058</v>
      </c>
      <c r="P39" s="18">
        <f t="shared" si="4"/>
        <v>29410.496046010063</v>
      </c>
      <c r="Q39" s="18">
        <f t="shared" si="4"/>
        <v>33273.604410751206</v>
      </c>
    </row>
    <row r="40" spans="1:17" s="87" customFormat="1" ht="19.5" customHeight="1">
      <c r="A40" s="84"/>
      <c r="B40" s="4" t="s">
        <v>113</v>
      </c>
      <c r="C40" s="42">
        <f t="shared" ref="C40:L40" si="5">SUM(C38:C39)</f>
        <v>20754.63</v>
      </c>
      <c r="D40" s="42">
        <f t="shared" si="5"/>
        <v>23318.31</v>
      </c>
      <c r="E40" s="16">
        <f t="shared" si="5"/>
        <v>28511.919999999998</v>
      </c>
      <c r="F40" s="16">
        <f t="shared" si="5"/>
        <v>29615.32</v>
      </c>
      <c r="G40" s="16">
        <f t="shared" si="5"/>
        <v>32748</v>
      </c>
      <c r="H40" s="94">
        <f t="shared" si="5"/>
        <v>1.8159000000000001</v>
      </c>
      <c r="I40" s="94">
        <f t="shared" si="5"/>
        <v>1.8704000000000001</v>
      </c>
      <c r="J40" s="102">
        <f t="shared" si="5"/>
        <v>1.9266000000000001</v>
      </c>
      <c r="K40" s="102">
        <f t="shared" si="5"/>
        <v>1.9842</v>
      </c>
      <c r="L40" s="102">
        <f t="shared" si="5"/>
        <v>2.0434000000000001</v>
      </c>
      <c r="M40" s="86">
        <f t="shared" si="4"/>
        <v>11429.390384933091</v>
      </c>
      <c r="N40" s="86">
        <f t="shared" si="4"/>
        <v>12467.017750213858</v>
      </c>
      <c r="O40" s="78">
        <f t="shared" si="4"/>
        <v>14799.086473580399</v>
      </c>
      <c r="P40" s="78">
        <f t="shared" si="4"/>
        <v>14925.572018949702</v>
      </c>
      <c r="Q40" s="78">
        <f t="shared" si="4"/>
        <v>16026.230791817557</v>
      </c>
    </row>
    <row r="41" spans="1:17" s="87" customFormat="1">
      <c r="A41" s="84"/>
      <c r="B41" s="4"/>
      <c r="C41" s="42"/>
      <c r="D41" s="42"/>
      <c r="E41" s="16"/>
      <c r="F41" s="16"/>
      <c r="G41" s="16"/>
      <c r="H41" s="94"/>
      <c r="I41" s="94"/>
      <c r="J41" s="102"/>
      <c r="K41" s="102"/>
      <c r="L41" s="102"/>
      <c r="M41" s="85"/>
      <c r="N41" s="85"/>
      <c r="O41" s="18"/>
      <c r="P41" s="18"/>
      <c r="Q41" s="18"/>
    </row>
    <row r="42" spans="1:17" s="87" customFormat="1">
      <c r="A42" s="84"/>
      <c r="B42" s="4" t="s">
        <v>49</v>
      </c>
      <c r="C42" s="42">
        <f t="shared" ref="C42:L42" si="6">+C17+C36+C40</f>
        <v>727759.66</v>
      </c>
      <c r="D42" s="42">
        <f t="shared" si="6"/>
        <v>857422.66000000015</v>
      </c>
      <c r="E42" s="16">
        <f t="shared" si="6"/>
        <v>986044.39999999979</v>
      </c>
      <c r="F42" s="16">
        <f t="shared" si="6"/>
        <v>1129572.19</v>
      </c>
      <c r="G42" s="16">
        <f t="shared" si="6"/>
        <v>1358121.73</v>
      </c>
      <c r="H42" s="94">
        <f t="shared" si="6"/>
        <v>114.24500000000002</v>
      </c>
      <c r="I42" s="94">
        <f t="shared" si="6"/>
        <v>115.8409</v>
      </c>
      <c r="J42" s="102">
        <f t="shared" si="6"/>
        <v>117.42229999999999</v>
      </c>
      <c r="K42" s="102">
        <f t="shared" si="6"/>
        <v>118.98739999999999</v>
      </c>
      <c r="L42" s="102">
        <f t="shared" si="6"/>
        <v>120.53729999999999</v>
      </c>
      <c r="M42" s="86">
        <f>+C42/H42</f>
        <v>6370.1663967788518</v>
      </c>
      <c r="N42" s="86">
        <f>+D42/I42</f>
        <v>7401.7265059232113</v>
      </c>
      <c r="O42" s="78">
        <f>+E42/J42</f>
        <v>8397.4202515195138</v>
      </c>
      <c r="P42" s="78">
        <f>+F42/K42</f>
        <v>9493.2084405575715</v>
      </c>
      <c r="Q42" s="78">
        <f>+G42/L42</f>
        <v>11267.232051821304</v>
      </c>
    </row>
    <row r="43" spans="1:17">
      <c r="A43" s="95"/>
      <c r="B43" s="23" t="s">
        <v>50</v>
      </c>
      <c r="C43" s="29"/>
      <c r="D43" s="29"/>
      <c r="E43" s="24"/>
      <c r="F43" s="24"/>
      <c r="G43" s="24"/>
      <c r="H43" s="29"/>
      <c r="I43" s="29"/>
      <c r="J43" s="24"/>
      <c r="K43" s="24"/>
      <c r="L43" s="24"/>
      <c r="M43" s="29"/>
      <c r="N43" s="29"/>
    </row>
  </sheetData>
  <mergeCells count="7">
    <mergeCell ref="A1:Q1"/>
    <mergeCell ref="A2:A4"/>
    <mergeCell ref="B2:B3"/>
    <mergeCell ref="C2:G2"/>
    <mergeCell ref="H2:L2"/>
    <mergeCell ref="M2:Q2"/>
    <mergeCell ref="H4:L4"/>
  </mergeCells>
  <phoneticPr fontId="63" type="noConversion"/>
  <printOptions horizontalCentered="1"/>
  <pageMargins left="0.35433070866141736" right="0.15748031496062992" top="0.59055118110236227" bottom="0.39370078740157483" header="0" footer="0"/>
  <pageSetup paperSize="9" scale="6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4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2.75"/>
  <cols>
    <col min="1" max="1" width="4.85546875" style="26" customWidth="1"/>
    <col min="2" max="2" width="34.7109375" customWidth="1"/>
    <col min="3" max="7" width="10.140625" style="14" customWidth="1"/>
    <col min="8" max="9" width="10.140625" customWidth="1"/>
    <col min="10" max="12" width="10.140625" style="14" customWidth="1"/>
    <col min="13" max="15" width="10.140625" customWidth="1"/>
  </cols>
  <sheetData>
    <row r="1" spans="1:17" ht="27.75" customHeight="1">
      <c r="A1" s="622" t="s">
        <v>295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</row>
    <row r="2" spans="1:17" ht="43.5" customHeight="1">
      <c r="A2" s="636" t="s">
        <v>0</v>
      </c>
      <c r="B2" s="636" t="s">
        <v>1</v>
      </c>
      <c r="C2" s="659" t="s">
        <v>120</v>
      </c>
      <c r="D2" s="660"/>
      <c r="E2" s="660"/>
      <c r="F2" s="660"/>
      <c r="G2" s="661"/>
      <c r="H2" s="659" t="s">
        <v>121</v>
      </c>
      <c r="I2" s="660"/>
      <c r="J2" s="660"/>
      <c r="K2" s="660"/>
      <c r="L2" s="661"/>
      <c r="M2" s="659" t="s">
        <v>296</v>
      </c>
      <c r="N2" s="660"/>
      <c r="O2" s="660"/>
      <c r="P2" s="660"/>
      <c r="Q2" s="661"/>
    </row>
    <row r="3" spans="1:17" ht="21.75" customHeight="1">
      <c r="A3" s="637"/>
      <c r="B3" s="637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2" t="s">
        <v>5</v>
      </c>
      <c r="I3" s="2" t="s">
        <v>6</v>
      </c>
      <c r="J3" s="1" t="s">
        <v>7</v>
      </c>
      <c r="K3" s="1" t="s">
        <v>8</v>
      </c>
      <c r="L3" s="1" t="s">
        <v>9</v>
      </c>
      <c r="M3" s="2" t="s">
        <v>5</v>
      </c>
      <c r="N3" s="2" t="s">
        <v>6</v>
      </c>
      <c r="O3" s="2" t="s">
        <v>7</v>
      </c>
      <c r="P3" s="1" t="s">
        <v>8</v>
      </c>
      <c r="Q3" s="1" t="s">
        <v>9</v>
      </c>
    </row>
    <row r="4" spans="1:17" ht="18.75" customHeight="1">
      <c r="A4" s="125"/>
      <c r="B4" s="127">
        <v>41129</v>
      </c>
      <c r="C4" s="1"/>
      <c r="D4" s="1"/>
      <c r="E4" s="1"/>
      <c r="F4" s="1"/>
      <c r="G4" s="1"/>
      <c r="H4" s="653" t="s">
        <v>111</v>
      </c>
      <c r="I4" s="654"/>
      <c r="J4" s="654"/>
      <c r="K4" s="654"/>
      <c r="L4" s="655"/>
      <c r="M4" s="2"/>
      <c r="N4" s="2"/>
      <c r="O4" s="2"/>
      <c r="P4" s="8"/>
      <c r="Q4" s="8"/>
    </row>
    <row r="5" spans="1:17" ht="18.75" customHeight="1">
      <c r="A5" s="3"/>
      <c r="B5" s="4" t="s">
        <v>13</v>
      </c>
      <c r="C5" s="5"/>
      <c r="D5" s="5"/>
      <c r="E5" s="5"/>
      <c r="F5" s="5"/>
      <c r="G5" s="5"/>
      <c r="H5" s="4"/>
      <c r="I5" s="4"/>
      <c r="J5" s="5"/>
      <c r="K5" s="5"/>
      <c r="L5" s="5"/>
      <c r="M5" s="6"/>
      <c r="N5" s="6"/>
      <c r="O5" s="6"/>
      <c r="P5" s="8"/>
      <c r="Q5" s="8"/>
    </row>
    <row r="6" spans="1:17" ht="18.75" customHeight="1">
      <c r="A6" s="3">
        <v>1</v>
      </c>
      <c r="B6" s="6" t="s">
        <v>14</v>
      </c>
      <c r="C6" s="18">
        <f ca="1">+'NON Plan Exp(%GSDP)'!H6</f>
        <v>4810</v>
      </c>
      <c r="D6" s="18">
        <f ca="1">+'NON Plan Exp(%GSDP)'!I6</f>
        <v>5687</v>
      </c>
      <c r="E6" s="18">
        <f ca="1">+'NON Plan Exp(%GSDP)'!J6</f>
        <v>7085</v>
      </c>
      <c r="F6" s="18">
        <f ca="1">+'NON Plan Exp(%GSDP)'!K6</f>
        <v>8233</v>
      </c>
      <c r="G6" s="18">
        <f ca="1">+'NON Plan Exp(%GSDP)'!L6</f>
        <v>9357</v>
      </c>
      <c r="H6" s="93">
        <v>0.1198</v>
      </c>
      <c r="I6" s="93">
        <v>0.1212</v>
      </c>
      <c r="J6" s="103">
        <v>0.1227</v>
      </c>
      <c r="K6" s="103">
        <v>0.1241</v>
      </c>
      <c r="L6" s="103">
        <v>0.1255</v>
      </c>
      <c r="M6" s="85">
        <f t="shared" ref="M6:Q17" si="0">+C6/H6</f>
        <v>40150.250417362266</v>
      </c>
      <c r="N6" s="85">
        <f t="shared" si="0"/>
        <v>46922.442244224425</v>
      </c>
      <c r="O6" s="85">
        <f t="shared" si="0"/>
        <v>57742.461287693557</v>
      </c>
      <c r="P6" s="85">
        <f>+F6/K6</f>
        <v>66341.659951651891</v>
      </c>
      <c r="Q6" s="85">
        <f>+G6/L6</f>
        <v>74557.768924302785</v>
      </c>
    </row>
    <row r="7" spans="1:17" ht="18.75" customHeight="1">
      <c r="A7" s="3">
        <v>2</v>
      </c>
      <c r="B7" s="6" t="s">
        <v>15</v>
      </c>
      <c r="C7" s="18">
        <f ca="1">+'NON Plan Exp(%GSDP)'!H7</f>
        <v>71076</v>
      </c>
      <c r="D7" s="18">
        <f ca="1">+'NON Plan Exp(%GSDP)'!I7</f>
        <v>81074</v>
      </c>
      <c r="E7" s="18">
        <f ca="1">+'NON Plan Exp(%GSDP)'!J7</f>
        <v>92737</v>
      </c>
      <c r="F7" s="18">
        <f ca="1">+'NON Plan Exp(%GSDP)'!K7</f>
        <v>104015</v>
      </c>
      <c r="G7" s="18">
        <f ca="1">+'NON Plan Exp(%GSDP)'!L7</f>
        <v>115408</v>
      </c>
      <c r="H7" s="93">
        <v>2.9434999999999998</v>
      </c>
      <c r="I7" s="93">
        <v>2.9813999999999998</v>
      </c>
      <c r="J7" s="103">
        <v>3.0190999999999999</v>
      </c>
      <c r="K7" s="103">
        <v>3.0568</v>
      </c>
      <c r="L7" s="103">
        <v>3.0945</v>
      </c>
      <c r="M7" s="85">
        <f t="shared" si="0"/>
        <v>24146.764056395448</v>
      </c>
      <c r="N7" s="85">
        <f t="shared" si="0"/>
        <v>27193.264909103109</v>
      </c>
      <c r="O7" s="85">
        <f t="shared" si="0"/>
        <v>30716.769898314069</v>
      </c>
      <c r="P7" s="85">
        <f t="shared" si="0"/>
        <v>34027.414289453023</v>
      </c>
      <c r="Q7" s="85">
        <f t="shared" si="0"/>
        <v>37294.554855388589</v>
      </c>
    </row>
    <row r="8" spans="1:17" ht="18.75" customHeight="1">
      <c r="A8" s="3">
        <v>3</v>
      </c>
      <c r="B8" s="6" t="s">
        <v>16</v>
      </c>
      <c r="C8" s="18">
        <f ca="1">+'NON Plan Exp(%GSDP)'!H8</f>
        <v>33963</v>
      </c>
      <c r="D8" s="18">
        <f ca="1">+'NON Plan Exp(%GSDP)'!I8</f>
        <v>41483</v>
      </c>
      <c r="E8" s="18">
        <f ca="1">+'NON Plan Exp(%GSDP)'!J8</f>
        <v>48189</v>
      </c>
      <c r="F8" s="18">
        <f ca="1">+'NON Plan Exp(%GSDP)'!K8</f>
        <v>56119</v>
      </c>
      <c r="G8" s="18">
        <f ca="1">+'NON Plan Exp(%GSDP)'!L8</f>
        <v>63331</v>
      </c>
      <c r="H8" s="93">
        <v>0.65949999999999998</v>
      </c>
      <c r="I8" s="93">
        <v>0.66620000000000001</v>
      </c>
      <c r="J8" s="103">
        <v>0.67279999999999995</v>
      </c>
      <c r="K8" s="103">
        <v>0.67930000000000001</v>
      </c>
      <c r="L8" s="103">
        <v>0.68559999999999999</v>
      </c>
      <c r="M8" s="85">
        <f t="shared" si="0"/>
        <v>51498.104624715699</v>
      </c>
      <c r="N8" s="85">
        <f t="shared" si="0"/>
        <v>62268.087661362952</v>
      </c>
      <c r="O8" s="85">
        <f t="shared" si="0"/>
        <v>71624.554102259222</v>
      </c>
      <c r="P8" s="85">
        <f t="shared" si="0"/>
        <v>82612.983954070369</v>
      </c>
      <c r="Q8" s="85">
        <f t="shared" si="0"/>
        <v>92373.103850641783</v>
      </c>
    </row>
    <row r="9" spans="1:17" ht="18.75" customHeight="1">
      <c r="A9" s="3">
        <v>4</v>
      </c>
      <c r="B9" s="6" t="s">
        <v>60</v>
      </c>
      <c r="C9" s="18">
        <f ca="1">+'NON Plan Exp(%GSDP)'!H9</f>
        <v>37099</v>
      </c>
      <c r="D9" s="18">
        <f ca="1">+'NON Plan Exp(%GSDP)'!I9</f>
        <v>42315</v>
      </c>
      <c r="E9" s="18">
        <f ca="1">+'NON Plan Exp(%GSDP)'!J9</f>
        <v>48382</v>
      </c>
      <c r="F9" s="18">
        <f ca="1">+'NON Plan Exp(%GSDP)'!K9</f>
        <v>55446</v>
      </c>
      <c r="G9" s="18">
        <f ca="1">+'NON Plan Exp(%GSDP)'!L9</f>
        <v>63589</v>
      </c>
      <c r="H9" s="93">
        <v>1.1256999999999999</v>
      </c>
      <c r="I9" s="93">
        <v>1.1414</v>
      </c>
      <c r="J9" s="103">
        <v>1.1568000000000001</v>
      </c>
      <c r="K9" s="103">
        <v>1.1718</v>
      </c>
      <c r="L9" s="103">
        <v>1.1865000000000001</v>
      </c>
      <c r="M9" s="85">
        <f t="shared" si="0"/>
        <v>32956.382695211869</v>
      </c>
      <c r="N9" s="85">
        <f t="shared" si="0"/>
        <v>37072.892938496581</v>
      </c>
      <c r="O9" s="85">
        <f t="shared" si="0"/>
        <v>41823.997233748269</v>
      </c>
      <c r="P9" s="85">
        <f t="shared" si="0"/>
        <v>47316.948284690225</v>
      </c>
      <c r="Q9" s="85">
        <f t="shared" si="0"/>
        <v>53593.763168984406</v>
      </c>
    </row>
    <row r="10" spans="1:17" ht="18.75" customHeight="1">
      <c r="A10" s="3">
        <v>5</v>
      </c>
      <c r="B10" s="6" t="s">
        <v>18</v>
      </c>
      <c r="C10" s="18">
        <f ca="1">+'NON Plan Exp(%GSDP)'!H10</f>
        <v>6783</v>
      </c>
      <c r="D10" s="18">
        <f ca="1">+'NON Plan Exp(%GSDP)'!I10</f>
        <v>7399</v>
      </c>
      <c r="E10" s="18">
        <f ca="1">+'NON Plan Exp(%GSDP)'!J10</f>
        <v>8314</v>
      </c>
      <c r="F10" s="18">
        <f ca="1">+'NON Plan Exp(%GSDP)'!K10</f>
        <v>9198</v>
      </c>
      <c r="G10" s="18">
        <f ca="1">+'NON Plan Exp(%GSDP)'!L10</f>
        <v>10188</v>
      </c>
      <c r="H10" s="93">
        <v>0.2364</v>
      </c>
      <c r="I10" s="93">
        <v>0.23930000000000001</v>
      </c>
      <c r="J10" s="103">
        <v>0.24210000000000001</v>
      </c>
      <c r="K10" s="103">
        <v>0.24490000000000001</v>
      </c>
      <c r="L10" s="103">
        <v>0.24779999999999999</v>
      </c>
      <c r="M10" s="85">
        <f t="shared" si="0"/>
        <v>28692.89340101523</v>
      </c>
      <c r="N10" s="85">
        <f t="shared" si="0"/>
        <v>30919.348098620976</v>
      </c>
      <c r="O10" s="85">
        <f t="shared" si="0"/>
        <v>34341.181330028914</v>
      </c>
      <c r="P10" s="85">
        <f t="shared" si="0"/>
        <v>37558.187015108204</v>
      </c>
      <c r="Q10" s="85">
        <f t="shared" si="0"/>
        <v>41113.801452784508</v>
      </c>
    </row>
    <row r="11" spans="1:17" ht="18.75" customHeight="1">
      <c r="A11" s="3">
        <v>6</v>
      </c>
      <c r="B11" s="6" t="s">
        <v>19</v>
      </c>
      <c r="C11" s="18">
        <f ca="1">+'NON Plan Exp(%GSDP)'!H11</f>
        <v>9735</v>
      </c>
      <c r="D11" s="18">
        <f ca="1">+'NON Plan Exp(%GSDP)'!I11</f>
        <v>11617</v>
      </c>
      <c r="E11" s="18">
        <f ca="1">+'NON Plan Exp(%GSDP)'!J11</f>
        <v>12709</v>
      </c>
      <c r="F11" s="18">
        <f ca="1">+'NON Plan Exp(%GSDP)'!K11</f>
        <v>14086</v>
      </c>
      <c r="G11" s="18">
        <f ca="1">+'NON Plan Exp(%GSDP)'!L11</f>
        <v>15895</v>
      </c>
      <c r="H11" s="93">
        <v>0.253</v>
      </c>
      <c r="I11" s="93">
        <v>0.25600000000000001</v>
      </c>
      <c r="J11" s="103">
        <v>0.2591</v>
      </c>
      <c r="K11" s="103">
        <v>0.2621</v>
      </c>
      <c r="L11" s="103">
        <v>0.2651</v>
      </c>
      <c r="M11" s="85">
        <f t="shared" si="0"/>
        <v>38478.260869565216</v>
      </c>
      <c r="N11" s="85">
        <f t="shared" si="0"/>
        <v>45378.90625</v>
      </c>
      <c r="O11" s="85">
        <f t="shared" si="0"/>
        <v>49050.559629486685</v>
      </c>
      <c r="P11" s="85">
        <f t="shared" si="0"/>
        <v>53742.84624189241</v>
      </c>
      <c r="Q11" s="85">
        <f t="shared" si="0"/>
        <v>59958.50622406639</v>
      </c>
    </row>
    <row r="12" spans="1:17" ht="18.75" customHeight="1">
      <c r="A12" s="3">
        <v>7</v>
      </c>
      <c r="B12" s="6" t="s">
        <v>20</v>
      </c>
      <c r="C12" s="18">
        <f ca="1">+'NON Plan Exp(%GSDP)'!H12</f>
        <v>3816</v>
      </c>
      <c r="D12" s="18">
        <f ca="1">+'NON Plan Exp(%GSDP)'!I12</f>
        <v>4577</v>
      </c>
      <c r="E12" s="18">
        <f ca="1">+'NON Plan Exp(%GSDP)'!J12</f>
        <v>5260</v>
      </c>
      <c r="F12" s="18">
        <f ca="1">+'NON Plan Exp(%GSDP)'!K12</f>
        <v>6058</v>
      </c>
      <c r="G12" s="18">
        <f ca="1">+'NON Plan Exp(%GSDP)'!L12</f>
        <v>6666.8290000000006</v>
      </c>
      <c r="H12" s="93">
        <v>9.7000000000000003E-2</v>
      </c>
      <c r="I12" s="93">
        <v>9.8100000000000007E-2</v>
      </c>
      <c r="J12" s="103">
        <v>9.9299999999999999E-2</v>
      </c>
      <c r="K12" s="103">
        <v>0.1004</v>
      </c>
      <c r="L12" s="103">
        <v>0.1016</v>
      </c>
      <c r="M12" s="85">
        <f t="shared" si="0"/>
        <v>39340.206185567011</v>
      </c>
      <c r="N12" s="85">
        <f t="shared" si="0"/>
        <v>46656.472986748216</v>
      </c>
      <c r="O12" s="85">
        <f t="shared" si="0"/>
        <v>52970.795568982881</v>
      </c>
      <c r="P12" s="85">
        <f t="shared" si="0"/>
        <v>60338.645418326691</v>
      </c>
      <c r="Q12" s="85">
        <f t="shared" si="0"/>
        <v>65618.395669291349</v>
      </c>
    </row>
    <row r="13" spans="1:17" ht="18.75" customHeight="1">
      <c r="A13" s="3">
        <v>8</v>
      </c>
      <c r="B13" s="6" t="s">
        <v>21</v>
      </c>
      <c r="C13" s="18">
        <f ca="1">+'NON Plan Exp(%GSDP)'!H13</f>
        <v>8075</v>
      </c>
      <c r="D13" s="18">
        <f ca="1">+'NON Plan Exp(%GSDP)'!I13</f>
        <v>9436</v>
      </c>
      <c r="E13" s="18">
        <f ca="1">+'NON Plan Exp(%GSDP)'!J13</f>
        <v>10507</v>
      </c>
      <c r="F13" s="18">
        <f ca="1">+'NON Plan Exp(%GSDP)'!K13</f>
        <v>11190</v>
      </c>
      <c r="G13" s="18">
        <f ca="1">+'NON Plan Exp(%GSDP)'!L13</f>
        <v>12134</v>
      </c>
      <c r="H13" s="93">
        <v>0.21709999999999999</v>
      </c>
      <c r="I13" s="93">
        <v>0.21970000000000001</v>
      </c>
      <c r="J13" s="103">
        <v>0.2223</v>
      </c>
      <c r="K13" s="103">
        <v>0.22489999999999999</v>
      </c>
      <c r="L13" s="103">
        <v>0.22750000000000001</v>
      </c>
      <c r="M13" s="85">
        <f t="shared" si="0"/>
        <v>37194.841087056659</v>
      </c>
      <c r="N13" s="85">
        <f t="shared" si="0"/>
        <v>42949.476558944014</v>
      </c>
      <c r="O13" s="85">
        <f t="shared" si="0"/>
        <v>47264.957264957266</v>
      </c>
      <c r="P13" s="85">
        <f t="shared" si="0"/>
        <v>49755.446865273458</v>
      </c>
      <c r="Q13" s="85">
        <f t="shared" si="0"/>
        <v>53336.263736263732</v>
      </c>
    </row>
    <row r="14" spans="1:17" ht="18.75" customHeight="1">
      <c r="A14" s="3">
        <v>9</v>
      </c>
      <c r="B14" s="6" t="s">
        <v>22</v>
      </c>
      <c r="C14" s="18">
        <f ca="1">+'NON Plan Exp(%GSDP)'!H14</f>
        <v>2506</v>
      </c>
      <c r="D14" s="18">
        <f ca="1">+'NON Plan Exp(%GSDP)'!I14</f>
        <v>3229</v>
      </c>
      <c r="E14" s="18">
        <f ca="1">+'NON Plan Exp(%GSDP)'!J14</f>
        <v>6133</v>
      </c>
      <c r="F14" s="18">
        <f ca="1">+'NON Plan Exp(%GSDP)'!K14</f>
        <v>7145</v>
      </c>
      <c r="G14" s="18">
        <f ca="1">+'NON Plan Exp(%GSDP)'!L14</f>
        <v>8400</v>
      </c>
      <c r="H14" s="93">
        <v>5.91E-2</v>
      </c>
      <c r="I14" s="93">
        <v>5.9799999999999999E-2</v>
      </c>
      <c r="J14" s="103">
        <v>6.0499999999999998E-2</v>
      </c>
      <c r="K14" s="103">
        <v>6.1199999999999997E-2</v>
      </c>
      <c r="L14" s="103">
        <v>6.1899999999999997E-2</v>
      </c>
      <c r="M14" s="85">
        <f t="shared" si="0"/>
        <v>42402.707275803725</v>
      </c>
      <c r="N14" s="85">
        <f t="shared" si="0"/>
        <v>53996.655518394648</v>
      </c>
      <c r="O14" s="85">
        <f t="shared" si="0"/>
        <v>101371.90082644629</v>
      </c>
      <c r="P14" s="85">
        <f t="shared" si="0"/>
        <v>116748.36601307191</v>
      </c>
      <c r="Q14" s="85">
        <f t="shared" si="0"/>
        <v>135702.74636510501</v>
      </c>
    </row>
    <row r="15" spans="1:17" ht="18.75" customHeight="1">
      <c r="A15" s="3">
        <v>10</v>
      </c>
      <c r="B15" s="6" t="s">
        <v>23</v>
      </c>
      <c r="C15" s="18">
        <f ca="1">+'NON Plan Exp(%GSDP)'!H15</f>
        <v>11797</v>
      </c>
      <c r="D15" s="18">
        <f ca="1">+'NON Plan Exp(%GSDP)'!I15</f>
        <v>13573</v>
      </c>
      <c r="E15" s="18">
        <f ca="1">+'NON Plan Exp(%GSDP)'!J15</f>
        <v>15348</v>
      </c>
      <c r="F15" s="18">
        <f ca="1">+'NON Plan Exp(%GSDP)'!K15</f>
        <v>17387</v>
      </c>
      <c r="G15" s="18">
        <f ca="1">+'NON Plan Exp(%GSDP)'!L15</f>
        <v>19731</v>
      </c>
      <c r="H15" s="93">
        <v>0.34910000000000002</v>
      </c>
      <c r="I15" s="93">
        <v>0.35320000000000001</v>
      </c>
      <c r="J15" s="103">
        <v>0.3574</v>
      </c>
      <c r="K15" s="103">
        <v>0.36159999999999998</v>
      </c>
      <c r="L15" s="103">
        <v>0.36580000000000001</v>
      </c>
      <c r="M15" s="85">
        <f t="shared" si="0"/>
        <v>33792.609567459178</v>
      </c>
      <c r="N15" s="85">
        <f t="shared" si="0"/>
        <v>38428.652321630805</v>
      </c>
      <c r="O15" s="85">
        <f t="shared" si="0"/>
        <v>42943.48069390039</v>
      </c>
      <c r="P15" s="85">
        <f t="shared" si="0"/>
        <v>48083.517699115044</v>
      </c>
      <c r="Q15" s="85">
        <f t="shared" si="0"/>
        <v>53939.311098961181</v>
      </c>
    </row>
    <row r="16" spans="1:17" ht="18.75" customHeight="1">
      <c r="A16" s="3">
        <v>11</v>
      </c>
      <c r="B16" s="6" t="s">
        <v>24</v>
      </c>
      <c r="C16" s="18">
        <f ca="1">+'NON Plan Exp(%GSDP)'!H16</f>
        <v>45856</v>
      </c>
      <c r="D16" s="18">
        <f ca="1">+'NON Plan Exp(%GSDP)'!I16</f>
        <v>56025</v>
      </c>
      <c r="E16" s="18">
        <f ca="1">+'NON Plan Exp(%GSDP)'!J16</f>
        <v>70855</v>
      </c>
      <c r="F16" s="18">
        <f ca="1">+'NON Plan Exp(%GSDP)'!K16</f>
        <v>82460</v>
      </c>
      <c r="G16" s="18">
        <f ca="1">+'NON Plan Exp(%GSDP)'!L16</f>
        <v>95201</v>
      </c>
      <c r="H16" s="93">
        <v>0.95109999999999995</v>
      </c>
      <c r="I16" s="93">
        <v>0.96560000000000001</v>
      </c>
      <c r="J16" s="103">
        <v>0.98</v>
      </c>
      <c r="K16" s="103">
        <v>0.99429999999999996</v>
      </c>
      <c r="L16" s="103">
        <v>1.0084</v>
      </c>
      <c r="M16" s="85">
        <f t="shared" si="0"/>
        <v>48213.647355693407</v>
      </c>
      <c r="N16" s="85">
        <f t="shared" si="0"/>
        <v>58020.919635459817</v>
      </c>
      <c r="O16" s="85">
        <f t="shared" si="0"/>
        <v>72301.020408163269</v>
      </c>
      <c r="P16" s="85">
        <f t="shared" si="0"/>
        <v>82932.71648395856</v>
      </c>
      <c r="Q16" s="85">
        <f t="shared" si="0"/>
        <v>94407.973026576758</v>
      </c>
    </row>
    <row r="17" spans="1:17" s="87" customFormat="1" ht="18.75" customHeight="1">
      <c r="A17" s="84"/>
      <c r="B17" s="4" t="s">
        <v>25</v>
      </c>
      <c r="C17" s="78">
        <f t="shared" ref="C17:L17" si="1">SUM(C6:C16)</f>
        <v>235516</v>
      </c>
      <c r="D17" s="78">
        <f t="shared" si="1"/>
        <v>276415</v>
      </c>
      <c r="E17" s="78">
        <f t="shared" si="1"/>
        <v>325519</v>
      </c>
      <c r="F17" s="78">
        <f t="shared" si="1"/>
        <v>371337</v>
      </c>
      <c r="G17" s="78">
        <f t="shared" si="1"/>
        <v>419900.82900000003</v>
      </c>
      <c r="H17" s="94">
        <f t="shared" si="1"/>
        <v>7.0113000000000003</v>
      </c>
      <c r="I17" s="94">
        <f t="shared" si="1"/>
        <v>7.1019000000000005</v>
      </c>
      <c r="J17" s="102">
        <f t="shared" si="1"/>
        <v>7.1920999999999999</v>
      </c>
      <c r="K17" s="102">
        <f t="shared" si="1"/>
        <v>7.2814000000000005</v>
      </c>
      <c r="L17" s="102">
        <f t="shared" si="1"/>
        <v>7.3702000000000005</v>
      </c>
      <c r="M17" s="86">
        <f t="shared" si="0"/>
        <v>33590.917518862407</v>
      </c>
      <c r="N17" s="86">
        <f t="shared" si="0"/>
        <v>38921.2745884904</v>
      </c>
      <c r="O17" s="86">
        <f t="shared" si="0"/>
        <v>45260.633194755355</v>
      </c>
      <c r="P17" s="86">
        <f t="shared" si="0"/>
        <v>50998.022358337679</v>
      </c>
      <c r="Q17" s="86">
        <f t="shared" si="0"/>
        <v>56972.786220183982</v>
      </c>
    </row>
    <row r="18" spans="1:17" ht="18.75" customHeight="1">
      <c r="A18" s="3"/>
      <c r="B18" s="4" t="s">
        <v>26</v>
      </c>
      <c r="C18" s="78"/>
      <c r="D18" s="78"/>
      <c r="E18" s="78"/>
      <c r="F18" s="78"/>
      <c r="G18" s="78"/>
      <c r="H18" s="94"/>
      <c r="I18" s="94"/>
      <c r="J18" s="102"/>
      <c r="K18" s="102"/>
      <c r="L18" s="102"/>
      <c r="M18" s="85"/>
      <c r="N18" s="85"/>
      <c r="O18" s="85"/>
      <c r="P18" s="85"/>
      <c r="Q18" s="85"/>
    </row>
    <row r="19" spans="1:17" ht="18.75" customHeight="1">
      <c r="A19" s="3">
        <v>12</v>
      </c>
      <c r="B19" s="6" t="s">
        <v>27</v>
      </c>
      <c r="C19" s="18">
        <f ca="1">+'NON Plan Exp(%GSDP)'!H19</f>
        <v>364813</v>
      </c>
      <c r="D19" s="18">
        <f ca="1">+'NON Plan Exp(%GSDP)'!I19</f>
        <v>426765</v>
      </c>
      <c r="E19" s="18">
        <f ca="1">+'NON Plan Exp(%GSDP)'!J19</f>
        <v>490411</v>
      </c>
      <c r="F19" s="18">
        <f ca="1">+'NON Plan Exp(%GSDP)'!K19</f>
        <v>588963</v>
      </c>
      <c r="G19" s="18">
        <f ca="1">+'NON Plan Exp(%GSDP)'!L19</f>
        <v>675798</v>
      </c>
      <c r="H19" s="93">
        <v>8.2375000000000007</v>
      </c>
      <c r="I19" s="93">
        <v>8.3178000000000001</v>
      </c>
      <c r="J19" s="103">
        <v>8.3963999999999999</v>
      </c>
      <c r="K19" s="103">
        <v>8.4734999999999996</v>
      </c>
      <c r="L19" s="103">
        <v>8.5490999999999993</v>
      </c>
      <c r="M19" s="85">
        <f t="shared" ref="M19:Q36" si="2">+C19/H19</f>
        <v>44286.858877086488</v>
      </c>
      <c r="N19" s="85">
        <f t="shared" si="2"/>
        <v>51307.437062684847</v>
      </c>
      <c r="O19" s="85">
        <f t="shared" si="2"/>
        <v>58407.293602019912</v>
      </c>
      <c r="P19" s="85">
        <f t="shared" si="2"/>
        <v>69506.461320587725</v>
      </c>
      <c r="Q19" s="85">
        <f t="shared" si="2"/>
        <v>79049.022704144299</v>
      </c>
    </row>
    <row r="20" spans="1:17" ht="18.75" customHeight="1">
      <c r="A20" s="3">
        <v>13</v>
      </c>
      <c r="B20" s="6" t="s">
        <v>28</v>
      </c>
      <c r="C20" s="18">
        <f ca="1">+'NON Plan Exp(%GSDP)'!H20</f>
        <v>113680</v>
      </c>
      <c r="D20" s="18">
        <f ca="1">+'NON Plan Exp(%GSDP)'!I20</f>
        <v>142279</v>
      </c>
      <c r="E20" s="18">
        <f ca="1">+'NON Plan Exp(%GSDP)'!J20</f>
        <v>163800</v>
      </c>
      <c r="F20" s="18">
        <f ca="1">+'NON Plan Exp(%GSDP)'!K20</f>
        <v>201856</v>
      </c>
      <c r="G20" s="18">
        <f ca="1">+'NON Plan Exp(%GSDP)'!L20</f>
        <v>252694</v>
      </c>
      <c r="H20" s="93">
        <v>9.3633000000000006</v>
      </c>
      <c r="I20" s="93">
        <v>9.5025999999999993</v>
      </c>
      <c r="J20" s="103">
        <v>9.6388999999999996</v>
      </c>
      <c r="K20" s="103">
        <v>9.7720000000000002</v>
      </c>
      <c r="L20" s="103">
        <v>9.9019999999999992</v>
      </c>
      <c r="M20" s="85">
        <f t="shared" si="2"/>
        <v>12141.01865795179</v>
      </c>
      <c r="N20" s="85">
        <f t="shared" si="2"/>
        <v>14972.639067202661</v>
      </c>
      <c r="O20" s="85">
        <f t="shared" si="2"/>
        <v>16993.640353152332</v>
      </c>
      <c r="P20" s="85">
        <f t="shared" si="2"/>
        <v>20656.569791240279</v>
      </c>
      <c r="Q20" s="85">
        <f t="shared" si="2"/>
        <v>25519.491011916787</v>
      </c>
    </row>
    <row r="21" spans="1:17" ht="18.75" customHeight="1">
      <c r="A21" s="3">
        <v>14</v>
      </c>
      <c r="B21" s="6" t="s">
        <v>29</v>
      </c>
      <c r="C21" s="18">
        <f ca="1">+'NON Plan Exp(%GSDP)'!H21</f>
        <v>80255</v>
      </c>
      <c r="D21" s="18">
        <f ca="1">+'NON Plan Exp(%GSDP)'!I21</f>
        <v>96972</v>
      </c>
      <c r="E21" s="18">
        <f ca="1">+'NON Plan Exp(%GSDP)'!J21</f>
        <v>99262</v>
      </c>
      <c r="F21" s="18">
        <f ca="1">+'NON Plan Exp(%GSDP)'!K21</f>
        <v>117567</v>
      </c>
      <c r="G21" s="18">
        <f ca="1">+'NON Plan Exp(%GSDP)'!L21</f>
        <v>135536</v>
      </c>
      <c r="H21" s="93">
        <v>2.3269000000000002</v>
      </c>
      <c r="I21" s="93">
        <v>2.36</v>
      </c>
      <c r="J21" s="103">
        <v>2.3929</v>
      </c>
      <c r="K21" s="103">
        <v>2.4258000000000002</v>
      </c>
      <c r="L21" s="103">
        <v>2.4584999999999999</v>
      </c>
      <c r="M21" s="85">
        <f t="shared" si="2"/>
        <v>34490.094116635868</v>
      </c>
      <c r="N21" s="85">
        <f t="shared" si="2"/>
        <v>41089.830508474581</v>
      </c>
      <c r="O21" s="85">
        <f t="shared" si="2"/>
        <v>41481.883906556897</v>
      </c>
      <c r="P21" s="85">
        <f t="shared" si="2"/>
        <v>48465.24857778877</v>
      </c>
      <c r="Q21" s="85">
        <f t="shared" si="2"/>
        <v>55129.550538946511</v>
      </c>
    </row>
    <row r="22" spans="1:17" s="20" customFormat="1" ht="18.75" customHeight="1">
      <c r="A22" s="3">
        <v>15</v>
      </c>
      <c r="B22" s="6" t="s">
        <v>30</v>
      </c>
      <c r="C22" s="18">
        <f ca="1">+'NON Plan Exp(%GSDP)'!H22</f>
        <v>19565</v>
      </c>
      <c r="D22" s="18">
        <f ca="1">+'NON Plan Exp(%GSDP)'!I22</f>
        <v>25414</v>
      </c>
      <c r="E22" s="18">
        <f ca="1">+'NON Plan Exp(%GSDP)'!J22</f>
        <v>29126</v>
      </c>
      <c r="F22" s="18">
        <f ca="1">+'NON Plan Exp(%GSDP)'!K22</f>
        <v>32563</v>
      </c>
      <c r="G22" s="18">
        <f ca="1">+'NON Plan Exp(%GSDP)'!L22</f>
        <v>44460</v>
      </c>
      <c r="H22" s="93">
        <v>0.15959999999999999</v>
      </c>
      <c r="I22" s="93">
        <v>0.16550000000000001</v>
      </c>
      <c r="J22" s="103">
        <v>0.1714</v>
      </c>
      <c r="K22" s="103">
        <v>0.1767</v>
      </c>
      <c r="L22" s="103">
        <v>0.1817</v>
      </c>
      <c r="M22" s="85">
        <f t="shared" si="2"/>
        <v>122587.71929824562</v>
      </c>
      <c r="N22" s="85">
        <f t="shared" si="2"/>
        <v>153558.91238670694</v>
      </c>
      <c r="O22" s="85">
        <f t="shared" si="2"/>
        <v>169929.98833138857</v>
      </c>
      <c r="P22" s="85">
        <f t="shared" si="2"/>
        <v>184284.09734012451</v>
      </c>
      <c r="Q22" s="85">
        <f t="shared" si="2"/>
        <v>244689.04788112274</v>
      </c>
    </row>
    <row r="23" spans="1:17" ht="18.75" customHeight="1">
      <c r="A23" s="3">
        <v>16</v>
      </c>
      <c r="B23" s="6" t="s">
        <v>31</v>
      </c>
      <c r="C23" s="18">
        <f ca="1">+'NON Plan Exp(%GSDP)'!H23</f>
        <v>329285</v>
      </c>
      <c r="D23" s="18">
        <f ca="1">+'NON Plan Exp(%GSDP)'!I23</f>
        <v>367912</v>
      </c>
      <c r="E23" s="18">
        <f ca="1">+'NON Plan Exp(%GSDP)'!J23</f>
        <v>427555</v>
      </c>
      <c r="F23" s="18">
        <f ca="1">+'NON Plan Exp(%GSDP)'!K23</f>
        <v>513173</v>
      </c>
      <c r="G23" s="18">
        <f ca="1">+'NON Plan Exp(%GSDP)'!L23</f>
        <v>586300.15250000008</v>
      </c>
      <c r="H23" s="93">
        <v>5.6626000000000003</v>
      </c>
      <c r="I23" s="93">
        <v>5.7434000000000003</v>
      </c>
      <c r="J23" s="103">
        <v>5.8231999999999999</v>
      </c>
      <c r="K23" s="103">
        <v>5.9020000000000001</v>
      </c>
      <c r="L23" s="103">
        <v>5.98</v>
      </c>
      <c r="M23" s="85">
        <f t="shared" si="2"/>
        <v>58150.849433122588</v>
      </c>
      <c r="N23" s="85">
        <f t="shared" si="2"/>
        <v>64058.22335202145</v>
      </c>
      <c r="O23" s="85">
        <f t="shared" si="2"/>
        <v>73422.688556120353</v>
      </c>
      <c r="P23" s="85">
        <f t="shared" si="2"/>
        <v>86949.00033886818</v>
      </c>
      <c r="Q23" s="85">
        <f t="shared" si="2"/>
        <v>98043.503762541819</v>
      </c>
    </row>
    <row r="24" spans="1:17" ht="18.75" customHeight="1">
      <c r="A24" s="3">
        <v>17</v>
      </c>
      <c r="B24" s="6" t="s">
        <v>32</v>
      </c>
      <c r="C24" s="18">
        <f ca="1">+'NON Plan Exp(%GSDP)'!H24</f>
        <v>151593</v>
      </c>
      <c r="D24" s="18">
        <f ca="1">+'NON Plan Exp(%GSDP)'!I24</f>
        <v>182481</v>
      </c>
      <c r="E24" s="18">
        <f ca="1">+'NON Plan Exp(%GSDP)'!J24</f>
        <v>223567</v>
      </c>
      <c r="F24" s="18">
        <f ca="1">+'NON Plan Exp(%GSDP)'!K24</f>
        <v>263975</v>
      </c>
      <c r="G24" s="18">
        <f ca="1">+'NON Plan Exp(%GSDP)'!L24</f>
        <v>308943</v>
      </c>
      <c r="H24" s="93">
        <v>2.4171</v>
      </c>
      <c r="I24" s="93">
        <v>2.4597000000000002</v>
      </c>
      <c r="J24" s="103">
        <v>2.5019999999999998</v>
      </c>
      <c r="K24" s="103">
        <v>2.5438999999999998</v>
      </c>
      <c r="L24" s="103">
        <v>2.5853999999999999</v>
      </c>
      <c r="M24" s="85">
        <f t="shared" si="2"/>
        <v>62716.892143477722</v>
      </c>
      <c r="N24" s="85">
        <f t="shared" si="2"/>
        <v>74188.315648249787</v>
      </c>
      <c r="O24" s="85">
        <f t="shared" si="2"/>
        <v>89355.315747402085</v>
      </c>
      <c r="P24" s="85">
        <f t="shared" si="2"/>
        <v>103767.83678603719</v>
      </c>
      <c r="Q24" s="85">
        <f t="shared" si="2"/>
        <v>119495.2425156649</v>
      </c>
    </row>
    <row r="25" spans="1:17" ht="18.75" customHeight="1">
      <c r="A25" s="3">
        <v>18</v>
      </c>
      <c r="B25" s="6" t="s">
        <v>33</v>
      </c>
      <c r="C25" s="18">
        <f ca="1">+'NON Plan Exp(%GSDP)'!H25</f>
        <v>83950</v>
      </c>
      <c r="D25" s="18">
        <f ca="1">+'NON Plan Exp(%GSDP)'!I25</f>
        <v>87794</v>
      </c>
      <c r="E25" s="18">
        <f ca="1">+'NON Plan Exp(%GSDP)'!J25</f>
        <v>100621</v>
      </c>
      <c r="F25" s="18">
        <f ca="1">+'NON Plan Exp(%GSDP)'!K25</f>
        <v>115535</v>
      </c>
      <c r="G25" s="18">
        <f ca="1">+'NON Plan Exp(%GSDP)'!L25</f>
        <v>130505</v>
      </c>
      <c r="H25" s="93">
        <v>3.0181</v>
      </c>
      <c r="I25" s="93">
        <v>3.0611000000000002</v>
      </c>
      <c r="J25" s="103">
        <v>3.1040000000000001</v>
      </c>
      <c r="K25" s="103">
        <v>3.1472000000000002</v>
      </c>
      <c r="L25" s="103">
        <v>3.1903999999999999</v>
      </c>
      <c r="M25" s="85">
        <f t="shared" si="2"/>
        <v>27815.51307113747</v>
      </c>
      <c r="N25" s="85">
        <f t="shared" si="2"/>
        <v>28680.539675280128</v>
      </c>
      <c r="O25" s="85">
        <f t="shared" si="2"/>
        <v>32416.559278350516</v>
      </c>
      <c r="P25" s="85">
        <f t="shared" si="2"/>
        <v>36710.409252669037</v>
      </c>
      <c r="Q25" s="85">
        <f t="shared" si="2"/>
        <v>40905.529087261784</v>
      </c>
    </row>
    <row r="26" spans="1:17" ht="18.75" customHeight="1">
      <c r="A26" s="3">
        <v>19</v>
      </c>
      <c r="B26" s="6" t="s">
        <v>34</v>
      </c>
      <c r="C26" s="18">
        <f ca="1">+'NON Plan Exp(%GSDP)'!H26</f>
        <v>270629</v>
      </c>
      <c r="D26" s="18">
        <f ca="1">+'NON Plan Exp(%GSDP)'!I26</f>
        <v>310312</v>
      </c>
      <c r="E26" s="18">
        <f ca="1">+'NON Plan Exp(%GSDP)'!J26</f>
        <v>337516</v>
      </c>
      <c r="F26" s="18">
        <f ca="1">+'NON Plan Exp(%GSDP)'!K26</f>
        <v>399347</v>
      </c>
      <c r="G26" s="18">
        <f ca="1">+'NON Plan Exp(%GSDP)'!L26</f>
        <v>458903</v>
      </c>
      <c r="H26" s="93">
        <v>5.7549999999999999</v>
      </c>
      <c r="I26" s="93">
        <v>5.8181000000000003</v>
      </c>
      <c r="J26" s="103">
        <v>5.8803999999999998</v>
      </c>
      <c r="K26" s="103">
        <v>5.9419000000000004</v>
      </c>
      <c r="L26" s="103">
        <v>6.0026000000000002</v>
      </c>
      <c r="M26" s="85">
        <f t="shared" si="2"/>
        <v>47025.021720243269</v>
      </c>
      <c r="N26" s="85">
        <f t="shared" si="2"/>
        <v>53335.625032227013</v>
      </c>
      <c r="O26" s="85">
        <f t="shared" si="2"/>
        <v>57396.775729542213</v>
      </c>
      <c r="P26" s="85">
        <f t="shared" si="2"/>
        <v>67208.636967973202</v>
      </c>
      <c r="Q26" s="85">
        <f t="shared" si="2"/>
        <v>76450.704694632324</v>
      </c>
    </row>
    <row r="27" spans="1:17" ht="18.75" customHeight="1">
      <c r="A27" s="3">
        <v>20</v>
      </c>
      <c r="B27" s="6" t="s">
        <v>35</v>
      </c>
      <c r="C27" s="18">
        <f ca="1">+'NON Plan Exp(%GSDP)'!H27</f>
        <v>175141</v>
      </c>
      <c r="D27" s="18">
        <f ca="1">+'NON Plan Exp(%GSDP)'!I27</f>
        <v>202783</v>
      </c>
      <c r="E27" s="18">
        <f ca="1">+'NON Plan Exp(%GSDP)'!J27</f>
        <v>232381</v>
      </c>
      <c r="F27" s="18">
        <f ca="1">+'NON Plan Exp(%GSDP)'!K27</f>
        <v>276997</v>
      </c>
      <c r="G27" s="18">
        <f ca="1">+'NON Plan Exp(%GSDP)'!L27</f>
        <v>326693</v>
      </c>
      <c r="H27" s="93">
        <v>3.3801999999999999</v>
      </c>
      <c r="I27" s="93">
        <v>3.4062999999999999</v>
      </c>
      <c r="J27" s="103">
        <v>3.4317000000000002</v>
      </c>
      <c r="K27" s="103">
        <v>3.4563000000000001</v>
      </c>
      <c r="L27" s="103">
        <v>3.4802</v>
      </c>
      <c r="M27" s="85">
        <f t="shared" si="2"/>
        <v>51813.798000118339</v>
      </c>
      <c r="N27" s="85">
        <f t="shared" si="2"/>
        <v>59531.749992660662</v>
      </c>
      <c r="O27" s="85">
        <f t="shared" si="2"/>
        <v>67716.000815922132</v>
      </c>
      <c r="P27" s="85">
        <f t="shared" si="2"/>
        <v>80142.638081185083</v>
      </c>
      <c r="Q27" s="85">
        <f t="shared" si="2"/>
        <v>93871.903913568181</v>
      </c>
    </row>
    <row r="28" spans="1:17" ht="18.75" customHeight="1">
      <c r="A28" s="3">
        <v>21</v>
      </c>
      <c r="B28" s="6" t="s">
        <v>36</v>
      </c>
      <c r="C28" s="18">
        <f ca="1">+'NON Plan Exp(%GSDP)'!H28</f>
        <v>161479</v>
      </c>
      <c r="D28" s="18">
        <f ca="1">+'NON Plan Exp(%GSDP)'!I28</f>
        <v>197276</v>
      </c>
      <c r="E28" s="18">
        <f ca="1">+'NON Plan Exp(%GSDP)'!J28</f>
        <v>227984</v>
      </c>
      <c r="F28" s="18">
        <f ca="1">+'NON Plan Exp(%GSDP)'!K28</f>
        <v>260403</v>
      </c>
      <c r="G28" s="18">
        <f ca="1">+'NON Plan Exp(%GSDP)'!L28</f>
        <v>315387</v>
      </c>
      <c r="H28" s="93">
        <v>6.8737000000000004</v>
      </c>
      <c r="I28" s="93">
        <v>6.9897</v>
      </c>
      <c r="J28" s="103">
        <v>7.1050000000000004</v>
      </c>
      <c r="K28" s="103">
        <v>7.22</v>
      </c>
      <c r="L28" s="103">
        <v>7.3343999999999996</v>
      </c>
      <c r="M28" s="85">
        <f t="shared" si="2"/>
        <v>23492.296725198947</v>
      </c>
      <c r="N28" s="85">
        <f t="shared" si="2"/>
        <v>28223.815042133425</v>
      </c>
      <c r="O28" s="85">
        <f t="shared" si="2"/>
        <v>32087.825475017591</v>
      </c>
      <c r="P28" s="85">
        <f t="shared" si="2"/>
        <v>36066.897506925212</v>
      </c>
      <c r="Q28" s="85">
        <f t="shared" si="2"/>
        <v>43001.063481675395</v>
      </c>
    </row>
    <row r="29" spans="1:17" ht="18.75" customHeight="1">
      <c r="A29" s="3">
        <v>22</v>
      </c>
      <c r="B29" s="6" t="s">
        <v>37</v>
      </c>
      <c r="C29" s="18">
        <f ca="1">+'NON Plan Exp(%GSDP)'!H29</f>
        <v>679004</v>
      </c>
      <c r="D29" s="18">
        <f ca="1">+'NON Plan Exp(%GSDP)'!I29</f>
        <v>756334</v>
      </c>
      <c r="E29" s="18">
        <f ca="1">+'NON Plan Exp(%GSDP)'!J29</f>
        <v>901330</v>
      </c>
      <c r="F29" s="18">
        <f ca="1">+'NON Plan Exp(%GSDP)'!K29</f>
        <v>1029621</v>
      </c>
      <c r="G29" s="18">
        <f ca="1">+'NON Plan Exp(%GSDP)'!L29</f>
        <v>1180302</v>
      </c>
      <c r="H29" s="93">
        <v>10.7972</v>
      </c>
      <c r="I29" s="93">
        <v>10.955299999999999</v>
      </c>
      <c r="J29" s="103">
        <v>11.111800000000001</v>
      </c>
      <c r="K29" s="103">
        <v>11.266</v>
      </c>
      <c r="L29" s="103">
        <v>11.4184</v>
      </c>
      <c r="M29" s="85">
        <f t="shared" si="2"/>
        <v>62887.044789389838</v>
      </c>
      <c r="N29" s="85">
        <f t="shared" si="2"/>
        <v>69038.182432247413</v>
      </c>
      <c r="O29" s="85">
        <f t="shared" si="2"/>
        <v>81114.670890404785</v>
      </c>
      <c r="P29" s="85">
        <f t="shared" si="2"/>
        <v>91391.887093910889</v>
      </c>
      <c r="Q29" s="85">
        <f t="shared" si="2"/>
        <v>103368.42289637777</v>
      </c>
    </row>
    <row r="30" spans="1:17" ht="18.75" customHeight="1">
      <c r="A30" s="3">
        <v>23</v>
      </c>
      <c r="B30" s="6" t="s">
        <v>104</v>
      </c>
      <c r="C30" s="18">
        <f ca="1">+'NON Plan Exp(%GSDP)'!H30</f>
        <v>129274</v>
      </c>
      <c r="D30" s="18">
        <f ca="1">+'NON Plan Exp(%GSDP)'!I30</f>
        <v>148491</v>
      </c>
      <c r="E30" s="18">
        <f ca="1">+'NON Plan Exp(%GSDP)'!J30</f>
        <v>163727</v>
      </c>
      <c r="F30" s="18">
        <f ca="1">+'NON Plan Exp(%GSDP)'!K30</f>
        <v>195028</v>
      </c>
      <c r="G30" s="18">
        <f ca="1">+'NON Plan Exp(%GSDP)'!L30</f>
        <v>226236</v>
      </c>
      <c r="H30" s="93">
        <v>3.9655</v>
      </c>
      <c r="I30" s="93">
        <v>4.0025000000000004</v>
      </c>
      <c r="J30" s="103">
        <v>4.0388999999999999</v>
      </c>
      <c r="K30" s="103">
        <v>4.0750000000000002</v>
      </c>
      <c r="L30" s="103">
        <v>4.1105</v>
      </c>
      <c r="M30" s="85">
        <f t="shared" si="2"/>
        <v>32599.672172487706</v>
      </c>
      <c r="N30" s="85">
        <f t="shared" si="2"/>
        <v>37099.562773266705</v>
      </c>
      <c r="O30" s="85">
        <f t="shared" si="2"/>
        <v>40537.522592785164</v>
      </c>
      <c r="P30" s="85">
        <f t="shared" si="2"/>
        <v>47859.63190184049</v>
      </c>
      <c r="Q30" s="85">
        <f t="shared" si="2"/>
        <v>55038.55978591412</v>
      </c>
    </row>
    <row r="31" spans="1:17" s="20" customFormat="1" ht="18.75" customHeight="1">
      <c r="A31" s="3">
        <v>24</v>
      </c>
      <c r="B31" s="6" t="s">
        <v>39</v>
      </c>
      <c r="C31" s="18">
        <f ca="1">+'NON Plan Exp(%GSDP)'!H31</f>
        <v>152245</v>
      </c>
      <c r="D31" s="18">
        <f ca="1">+'NON Plan Exp(%GSDP)'!I31</f>
        <v>174039</v>
      </c>
      <c r="E31" s="18">
        <f ca="1">+'NON Plan Exp(%GSDP)'!J31</f>
        <v>198393</v>
      </c>
      <c r="F31" s="18">
        <f ca="1">+'NON Plan Exp(%GSDP)'!K31</f>
        <v>224975</v>
      </c>
      <c r="G31" s="18">
        <f ca="1">+'NON Plan Exp(%GSDP)'!L31</f>
        <v>248301</v>
      </c>
      <c r="H31" s="93">
        <v>2.6722000000000001</v>
      </c>
      <c r="I31" s="93">
        <v>2.7048000000000001</v>
      </c>
      <c r="J31" s="103">
        <v>2.7368000000000001</v>
      </c>
      <c r="K31" s="103">
        <v>2.7677999999999998</v>
      </c>
      <c r="L31" s="103">
        <v>2.7980999999999998</v>
      </c>
      <c r="M31" s="85">
        <f t="shared" si="2"/>
        <v>56973.654666566872</v>
      </c>
      <c r="N31" s="85">
        <f t="shared" si="2"/>
        <v>64344.49866903283</v>
      </c>
      <c r="O31" s="85">
        <f t="shared" si="2"/>
        <v>72490.865244080676</v>
      </c>
      <c r="P31" s="85">
        <f t="shared" si="2"/>
        <v>81282.968422573889</v>
      </c>
      <c r="Q31" s="85">
        <f t="shared" si="2"/>
        <v>88739.144419427481</v>
      </c>
    </row>
    <row r="32" spans="1:17" ht="18.75" customHeight="1">
      <c r="A32" s="3">
        <v>25</v>
      </c>
      <c r="B32" s="6" t="s">
        <v>40</v>
      </c>
      <c r="C32" s="18">
        <f ca="1">+'NON Plan Exp(%GSDP)'!H32</f>
        <v>194822</v>
      </c>
      <c r="D32" s="18">
        <f ca="1">+'NON Plan Exp(%GSDP)'!I32</f>
        <v>230949</v>
      </c>
      <c r="E32" s="18">
        <f ca="1">+'NON Plan Exp(%GSDP)'!J32</f>
        <v>263258</v>
      </c>
      <c r="F32" s="18">
        <f ca="1">+'NON Plan Exp(%GSDP)'!K32</f>
        <v>323682</v>
      </c>
      <c r="G32" s="18">
        <f ca="1">+'NON Plan Exp(%GSDP)'!L32</f>
        <v>368320</v>
      </c>
      <c r="H32" s="93">
        <v>6.4534000000000002</v>
      </c>
      <c r="I32" s="93">
        <v>6.5650000000000004</v>
      </c>
      <c r="J32" s="103">
        <v>6.6749999999999998</v>
      </c>
      <c r="K32" s="103">
        <v>6.7830000000000004</v>
      </c>
      <c r="L32" s="103">
        <v>6.8891999999999998</v>
      </c>
      <c r="M32" s="85">
        <f t="shared" si="2"/>
        <v>30189.047633805436</v>
      </c>
      <c r="N32" s="85">
        <f t="shared" si="2"/>
        <v>35178.827113480576</v>
      </c>
      <c r="O32" s="85">
        <f t="shared" si="2"/>
        <v>39439.400749063672</v>
      </c>
      <c r="P32" s="85">
        <f t="shared" si="2"/>
        <v>47719.593100398051</v>
      </c>
      <c r="Q32" s="85">
        <f t="shared" si="2"/>
        <v>53463.391975846251</v>
      </c>
    </row>
    <row r="33" spans="1:17" ht="18.75" customHeight="1">
      <c r="A33" s="3">
        <v>26</v>
      </c>
      <c r="B33" s="6" t="s">
        <v>41</v>
      </c>
      <c r="C33" s="18">
        <f ca="1">+'NON Plan Exp(%GSDP)'!H33</f>
        <v>350819</v>
      </c>
      <c r="D33" s="18">
        <f ca="1">+'NON Plan Exp(%GSDP)'!I33</f>
        <v>401336</v>
      </c>
      <c r="E33" s="18">
        <f ca="1">+'NON Plan Exp(%GSDP)'!J33</f>
        <v>479720</v>
      </c>
      <c r="F33" s="18">
        <f ca="1">+'NON Plan Exp(%GSDP)'!K33</f>
        <v>566422</v>
      </c>
      <c r="G33" s="18">
        <f ca="1">+'NON Plan Exp(%GSDP)'!L33</f>
        <v>639025</v>
      </c>
      <c r="H33" s="93">
        <v>6.6105999999999998</v>
      </c>
      <c r="I33" s="93">
        <v>6.6566000000000001</v>
      </c>
      <c r="J33" s="103">
        <v>6.7012</v>
      </c>
      <c r="K33" s="103">
        <v>6.7443999999999997</v>
      </c>
      <c r="L33" s="103">
        <v>6.7862</v>
      </c>
      <c r="M33" s="85">
        <f t="shared" si="2"/>
        <v>53069.161649472058</v>
      </c>
      <c r="N33" s="85">
        <f t="shared" si="2"/>
        <v>60291.440074512517</v>
      </c>
      <c r="O33" s="85">
        <f t="shared" si="2"/>
        <v>71587.17841580612</v>
      </c>
      <c r="P33" s="85">
        <f t="shared" si="2"/>
        <v>83984.04602336754</v>
      </c>
      <c r="Q33" s="85">
        <f t="shared" si="2"/>
        <v>94165.365005452244</v>
      </c>
    </row>
    <row r="34" spans="1:17" ht="18.75" customHeight="1">
      <c r="A34" s="3">
        <v>27</v>
      </c>
      <c r="B34" s="6" t="s">
        <v>42</v>
      </c>
      <c r="C34" s="18">
        <f ca="1">+'NON Plan Exp(%GSDP)'!H34</f>
        <v>383026</v>
      </c>
      <c r="D34" s="18">
        <f ca="1">+'NON Plan Exp(%GSDP)'!I34</f>
        <v>444685</v>
      </c>
      <c r="E34" s="18">
        <f ca="1">+'NON Plan Exp(%GSDP)'!J34</f>
        <v>523193</v>
      </c>
      <c r="F34" s="18">
        <f ca="1">+'NON Plan Exp(%GSDP)'!K34</f>
        <v>605219</v>
      </c>
      <c r="G34" s="18">
        <f ca="1">+'NON Plan Exp(%GSDP)'!L34</f>
        <v>687836</v>
      </c>
      <c r="H34" s="93">
        <v>19.025400000000001</v>
      </c>
      <c r="I34" s="93">
        <v>19.376300000000001</v>
      </c>
      <c r="J34" s="103">
        <v>19.7271</v>
      </c>
      <c r="K34" s="103">
        <v>20.0764</v>
      </c>
      <c r="L34" s="103">
        <v>20.425000000000001</v>
      </c>
      <c r="M34" s="85">
        <f t="shared" si="2"/>
        <v>20132.349385558253</v>
      </c>
      <c r="N34" s="85">
        <f t="shared" si="2"/>
        <v>22949.944003757166</v>
      </c>
      <c r="O34" s="85">
        <f t="shared" si="2"/>
        <v>26521.536363682448</v>
      </c>
      <c r="P34" s="85">
        <f t="shared" si="2"/>
        <v>30145.793070470801</v>
      </c>
      <c r="Q34" s="85">
        <f t="shared" si="2"/>
        <v>33676.181150550794</v>
      </c>
    </row>
    <row r="35" spans="1:17" ht="18.75" customHeight="1">
      <c r="A35" s="3">
        <v>28</v>
      </c>
      <c r="B35" s="6" t="s">
        <v>43</v>
      </c>
      <c r="C35" s="18">
        <f ca="1">+'NON Plan Exp(%GSDP)'!H35</f>
        <v>299483</v>
      </c>
      <c r="D35" s="18">
        <f ca="1">+'NON Plan Exp(%GSDP)'!I35</f>
        <v>341942</v>
      </c>
      <c r="E35" s="18">
        <f ca="1">+'NON Plan Exp(%GSDP)'!J35</f>
        <v>398933</v>
      </c>
      <c r="F35" s="18">
        <f ca="1">+'NON Plan Exp(%GSDP)'!K35</f>
        <v>467421</v>
      </c>
      <c r="G35" s="18">
        <f ca="1">+'NON Plan Exp(%GSDP)'!L35</f>
        <v>541586</v>
      </c>
      <c r="H35" s="93">
        <v>8.6995000000000005</v>
      </c>
      <c r="I35" s="93">
        <v>8.7838999999999992</v>
      </c>
      <c r="J35" s="103">
        <v>8.8668999999999993</v>
      </c>
      <c r="K35" s="103">
        <v>8.9498999999999995</v>
      </c>
      <c r="L35" s="103">
        <v>9.032</v>
      </c>
      <c r="M35" s="85">
        <f t="shared" si="2"/>
        <v>34425.31179952871</v>
      </c>
      <c r="N35" s="85">
        <f t="shared" si="2"/>
        <v>38928.266487551089</v>
      </c>
      <c r="O35" s="85">
        <f t="shared" si="2"/>
        <v>44991.259628506021</v>
      </c>
      <c r="P35" s="85">
        <f t="shared" si="2"/>
        <v>52226.393590989843</v>
      </c>
      <c r="Q35" s="85">
        <f t="shared" si="2"/>
        <v>59963.020372010629</v>
      </c>
    </row>
    <row r="36" spans="1:17" s="87" customFormat="1" ht="18.75" customHeight="1">
      <c r="A36" s="84"/>
      <c r="B36" s="4" t="s">
        <v>44</v>
      </c>
      <c r="C36" s="78">
        <f t="shared" ref="C36:L36" si="3">SUM(C19:C35)</f>
        <v>3939063</v>
      </c>
      <c r="D36" s="78">
        <f t="shared" si="3"/>
        <v>4537764</v>
      </c>
      <c r="E36" s="78">
        <f t="shared" si="3"/>
        <v>5260777</v>
      </c>
      <c r="F36" s="78">
        <f t="shared" si="3"/>
        <v>6182747</v>
      </c>
      <c r="G36" s="78">
        <f t="shared" si="3"/>
        <v>7126825.1524999999</v>
      </c>
      <c r="H36" s="94">
        <f t="shared" si="3"/>
        <v>105.41780000000001</v>
      </c>
      <c r="I36" s="94">
        <f t="shared" si="3"/>
        <v>106.8686</v>
      </c>
      <c r="J36" s="102">
        <f t="shared" si="3"/>
        <v>108.3036</v>
      </c>
      <c r="K36" s="102">
        <f t="shared" si="3"/>
        <v>109.72179999999999</v>
      </c>
      <c r="L36" s="102">
        <f t="shared" si="3"/>
        <v>111.12369999999999</v>
      </c>
      <c r="M36" s="86">
        <f t="shared" si="2"/>
        <v>37366.203809982748</v>
      </c>
      <c r="N36" s="86">
        <f t="shared" si="2"/>
        <v>42461.153229292795</v>
      </c>
      <c r="O36" s="86">
        <f t="shared" si="2"/>
        <v>48574.350252438511</v>
      </c>
      <c r="P36" s="86">
        <f t="shared" si="2"/>
        <v>56349.303420104305</v>
      </c>
      <c r="Q36" s="86">
        <f t="shared" si="2"/>
        <v>64134.159972175163</v>
      </c>
    </row>
    <row r="37" spans="1:17" ht="18.75" customHeight="1">
      <c r="A37" s="3"/>
      <c r="B37" s="4" t="s">
        <v>45</v>
      </c>
      <c r="C37" s="78"/>
      <c r="D37" s="78"/>
      <c r="E37" s="78"/>
      <c r="F37" s="78"/>
      <c r="G37" s="78"/>
      <c r="H37" s="94"/>
      <c r="I37" s="94"/>
      <c r="J37" s="102"/>
      <c r="K37" s="102"/>
      <c r="L37" s="102"/>
      <c r="M37" s="85"/>
      <c r="N37" s="85"/>
      <c r="O37" s="85"/>
      <c r="P37" s="85"/>
      <c r="Q37" s="85"/>
    </row>
    <row r="38" spans="1:17" ht="18.75" customHeight="1">
      <c r="A38" s="3">
        <v>29</v>
      </c>
      <c r="B38" s="6" t="s">
        <v>46</v>
      </c>
      <c r="C38" s="18">
        <f ca="1">+'NON Plan Exp(%GSDP)'!H38</f>
        <v>157947</v>
      </c>
      <c r="D38" s="18">
        <f ca="1">+'NON Plan Exp(%GSDP)'!I38</f>
        <v>189533</v>
      </c>
      <c r="E38" s="18">
        <f ca="1">+'NON Plan Exp(%GSDP)'!J38</f>
        <v>223759</v>
      </c>
      <c r="F38" s="18">
        <f ca="1">+'NON Plan Exp(%GSDP)'!K38</f>
        <v>264496</v>
      </c>
      <c r="G38" s="18">
        <f ca="1">+'NON Plan Exp(%GSDP)'!L38</f>
        <v>313934</v>
      </c>
      <c r="H38" s="93">
        <v>1.6955</v>
      </c>
      <c r="I38" s="93">
        <v>1.7437</v>
      </c>
      <c r="J38" s="103">
        <v>1.7935000000000001</v>
      </c>
      <c r="K38" s="103">
        <v>1.8451</v>
      </c>
      <c r="L38" s="103">
        <v>1.8983000000000001</v>
      </c>
      <c r="M38" s="85">
        <f t="shared" ref="M38:Q42" si="4">+C38/H38</f>
        <v>93156.590976113235</v>
      </c>
      <c r="N38" s="85">
        <f t="shared" si="4"/>
        <v>108695.87658427481</v>
      </c>
      <c r="O38" s="85">
        <f t="shared" si="4"/>
        <v>124761.08168385837</v>
      </c>
      <c r="P38" s="85">
        <f t="shared" si="4"/>
        <v>143350.49590808086</v>
      </c>
      <c r="Q38" s="85">
        <f t="shared" si="4"/>
        <v>165376.38940104304</v>
      </c>
    </row>
    <row r="39" spans="1:17" ht="18.75" customHeight="1">
      <c r="A39" s="3">
        <v>30</v>
      </c>
      <c r="B39" s="6" t="s">
        <v>47</v>
      </c>
      <c r="C39" s="18">
        <f ca="1">+'NON Plan Exp(%GSDP)'!H39</f>
        <v>9251</v>
      </c>
      <c r="D39" s="18">
        <f ca="1">+'NON Plan Exp(%GSDP)'!I39</f>
        <v>10050</v>
      </c>
      <c r="E39" s="18">
        <f ca="1">+'NON Plan Exp(%GSDP)'!J39</f>
        <v>11344</v>
      </c>
      <c r="F39" s="18">
        <f ca="1">+'NON Plan Exp(%GSDP)'!K39</f>
        <v>12929</v>
      </c>
      <c r="G39" s="18">
        <f ca="1">+'NON Plan Exp(%GSDP)'!L39</f>
        <v>13724</v>
      </c>
      <c r="H39" s="93">
        <v>0.12039999999999999</v>
      </c>
      <c r="I39" s="93">
        <v>0.12670000000000001</v>
      </c>
      <c r="J39" s="103">
        <v>0.1331</v>
      </c>
      <c r="K39" s="103">
        <v>0.1391</v>
      </c>
      <c r="L39" s="103">
        <v>0.14510000000000001</v>
      </c>
      <c r="M39" s="85">
        <f t="shared" si="4"/>
        <v>76835.548172757481</v>
      </c>
      <c r="N39" s="85">
        <f t="shared" si="4"/>
        <v>79321.231254932907</v>
      </c>
      <c r="O39" s="85">
        <f t="shared" si="4"/>
        <v>85229.15101427499</v>
      </c>
      <c r="P39" s="85">
        <f t="shared" si="4"/>
        <v>92947.519769949678</v>
      </c>
      <c r="Q39" s="85">
        <f t="shared" si="4"/>
        <v>94583.046175051684</v>
      </c>
    </row>
    <row r="40" spans="1:17" s="87" customFormat="1" ht="18.75" customHeight="1">
      <c r="A40" s="84"/>
      <c r="B40" s="4" t="s">
        <v>113</v>
      </c>
      <c r="C40" s="78">
        <f t="shared" ref="C40:J40" si="5">SUM(C38:C39)</f>
        <v>167198</v>
      </c>
      <c r="D40" s="78">
        <f t="shared" si="5"/>
        <v>199583</v>
      </c>
      <c r="E40" s="78">
        <f t="shared" si="5"/>
        <v>235103</v>
      </c>
      <c r="F40" s="78">
        <f>SUM(F38:F39)</f>
        <v>277425</v>
      </c>
      <c r="G40" s="78">
        <f>SUM(G38:G39)</f>
        <v>327658</v>
      </c>
      <c r="H40" s="94">
        <f t="shared" si="5"/>
        <v>1.8159000000000001</v>
      </c>
      <c r="I40" s="94">
        <f t="shared" si="5"/>
        <v>1.8704000000000001</v>
      </c>
      <c r="J40" s="102">
        <f t="shared" si="5"/>
        <v>1.9266000000000001</v>
      </c>
      <c r="K40" s="102">
        <f>SUM(K38:K39)</f>
        <v>1.9842</v>
      </c>
      <c r="L40" s="102">
        <f>SUM(L38:L39)</f>
        <v>2.0434000000000001</v>
      </c>
      <c r="M40" s="86">
        <f t="shared" si="4"/>
        <v>92074.453439066026</v>
      </c>
      <c r="N40" s="86">
        <f t="shared" si="4"/>
        <v>106706.05218135158</v>
      </c>
      <c r="O40" s="86">
        <f t="shared" si="4"/>
        <v>122030.0010380982</v>
      </c>
      <c r="P40" s="86">
        <f t="shared" si="4"/>
        <v>139817.05473238585</v>
      </c>
      <c r="Q40" s="86">
        <f t="shared" si="4"/>
        <v>160349.4176372712</v>
      </c>
    </row>
    <row r="41" spans="1:17" s="87" customFormat="1" ht="9" customHeight="1">
      <c r="A41" s="84"/>
      <c r="B41" s="4"/>
      <c r="C41" s="78"/>
      <c r="D41" s="78"/>
      <c r="E41" s="78"/>
      <c r="F41" s="78"/>
      <c r="G41" s="78"/>
      <c r="H41" s="94"/>
      <c r="I41" s="94"/>
      <c r="J41" s="102"/>
      <c r="K41" s="102"/>
      <c r="L41" s="102"/>
      <c r="M41" s="85"/>
      <c r="N41" s="85"/>
      <c r="O41" s="85"/>
      <c r="P41" s="86"/>
      <c r="Q41" s="86"/>
    </row>
    <row r="42" spans="1:17" s="87" customFormat="1">
      <c r="A42" s="84"/>
      <c r="B42" s="4" t="s">
        <v>49</v>
      </c>
      <c r="C42" s="78">
        <f t="shared" ref="C42:J42" si="6">+C17+C36+C40</f>
        <v>4341777</v>
      </c>
      <c r="D42" s="78">
        <f t="shared" si="6"/>
        <v>5013762</v>
      </c>
      <c r="E42" s="78">
        <f t="shared" si="6"/>
        <v>5821399</v>
      </c>
      <c r="F42" s="78">
        <f>+F17+F36+F40</f>
        <v>6831509</v>
      </c>
      <c r="G42" s="78">
        <f>+G17+G36+G40</f>
        <v>7874383.9814999998</v>
      </c>
      <c r="H42" s="94">
        <f t="shared" si="6"/>
        <v>114.24500000000002</v>
      </c>
      <c r="I42" s="94">
        <f t="shared" si="6"/>
        <v>115.8409</v>
      </c>
      <c r="J42" s="102">
        <f t="shared" si="6"/>
        <v>117.42229999999999</v>
      </c>
      <c r="K42" s="102">
        <f>+K17+K36+K40</f>
        <v>118.98739999999999</v>
      </c>
      <c r="L42" s="102">
        <f>+L17+L36+L40</f>
        <v>120.53729999999999</v>
      </c>
      <c r="M42" s="86">
        <f>+C42/H42</f>
        <v>38004.087706245344</v>
      </c>
      <c r="N42" s="86">
        <f>+D42/I42</f>
        <v>43281.448952830993</v>
      </c>
      <c r="O42" s="86">
        <f>+E42/J42</f>
        <v>49576.605125261558</v>
      </c>
      <c r="P42" s="86">
        <f t="shared" si="4"/>
        <v>57413.717754989186</v>
      </c>
      <c r="Q42" s="86">
        <f t="shared" si="4"/>
        <v>65327.363243576889</v>
      </c>
    </row>
    <row r="43" spans="1:17" ht="9" customHeight="1">
      <c r="A43" s="95"/>
      <c r="B43" s="29"/>
      <c r="C43" s="24"/>
      <c r="D43" s="24"/>
      <c r="E43" s="24"/>
      <c r="F43" s="24"/>
      <c r="G43" s="24"/>
      <c r="H43" s="29"/>
      <c r="I43" s="29"/>
      <c r="J43" s="24"/>
      <c r="K43" s="24"/>
      <c r="L43" s="24"/>
      <c r="M43" s="29"/>
      <c r="N43" s="29"/>
      <c r="O43" s="29"/>
    </row>
    <row r="44" spans="1:17">
      <c r="B44" s="79" t="s">
        <v>321</v>
      </c>
    </row>
  </sheetData>
  <mergeCells count="7">
    <mergeCell ref="A1:Q1"/>
    <mergeCell ref="H4:L4"/>
    <mergeCell ref="B2:B3"/>
    <mergeCell ref="A2:A3"/>
    <mergeCell ref="C2:G2"/>
    <mergeCell ref="H2:L2"/>
    <mergeCell ref="M2:Q2"/>
  </mergeCells>
  <phoneticPr fontId="63" type="noConversion"/>
  <printOptions horizontalCentered="1"/>
  <pageMargins left="0.35433070866141736" right="0.15748031496062992" top="0.78740157480314965" bottom="0.39370078740157483" header="0" footer="0"/>
  <pageSetup paperSize="9" scale="6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43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4.25"/>
  <cols>
    <col min="1" max="1" width="4.85546875" style="105" customWidth="1"/>
    <col min="2" max="2" width="40.7109375" style="27" customWidth="1"/>
    <col min="3" max="4" width="10.85546875" style="27" customWidth="1"/>
    <col min="5" max="5" width="10.85546875" style="41" customWidth="1"/>
    <col min="6" max="6" width="11.42578125" style="41" customWidth="1"/>
    <col min="7" max="12" width="10.85546875" style="41" customWidth="1"/>
    <col min="13" max="17" width="10.85546875" style="27" customWidth="1"/>
    <col min="18" max="16384" width="9.140625" style="27"/>
  </cols>
  <sheetData>
    <row r="1" spans="1:17" ht="23.25" customHeight="1">
      <c r="A1" s="662" t="s">
        <v>297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 s="29" customFormat="1" ht="31.5" customHeight="1">
      <c r="A2" s="668" t="s">
        <v>0</v>
      </c>
      <c r="B2" s="667" t="s">
        <v>129</v>
      </c>
      <c r="C2" s="593" t="s">
        <v>206</v>
      </c>
      <c r="D2" s="594"/>
      <c r="E2" s="594"/>
      <c r="F2" s="594"/>
      <c r="G2" s="595"/>
      <c r="H2" s="593" t="s">
        <v>123</v>
      </c>
      <c r="I2" s="594"/>
      <c r="J2" s="594"/>
      <c r="K2" s="594"/>
      <c r="L2" s="595"/>
      <c r="M2" s="666" t="s">
        <v>122</v>
      </c>
      <c r="N2" s="666"/>
      <c r="O2" s="666"/>
      <c r="P2" s="666"/>
      <c r="Q2" s="666"/>
    </row>
    <row r="3" spans="1:17" s="29" customFormat="1" ht="27" customHeight="1">
      <c r="A3" s="668"/>
      <c r="B3" s="667"/>
      <c r="C3" s="2" t="s">
        <v>5</v>
      </c>
      <c r="D3" s="2" t="s">
        <v>6</v>
      </c>
      <c r="E3" s="1" t="s">
        <v>7</v>
      </c>
      <c r="F3" s="1" t="s">
        <v>8</v>
      </c>
      <c r="G3" s="1" t="s">
        <v>9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492" t="s">
        <v>5</v>
      </c>
      <c r="N3" s="492" t="s">
        <v>6</v>
      </c>
      <c r="O3" s="492" t="s">
        <v>7</v>
      </c>
      <c r="P3" s="492" t="s">
        <v>8</v>
      </c>
      <c r="Q3" s="492" t="s">
        <v>9</v>
      </c>
    </row>
    <row r="4" spans="1:17" s="29" customFormat="1" ht="26.25" customHeight="1">
      <c r="A4" s="107"/>
      <c r="B4" s="124">
        <v>41129</v>
      </c>
      <c r="C4" s="2" t="s">
        <v>10</v>
      </c>
      <c r="D4" s="2" t="s">
        <v>10</v>
      </c>
      <c r="E4" s="1" t="s">
        <v>10</v>
      </c>
      <c r="F4" s="1" t="s">
        <v>11</v>
      </c>
      <c r="G4" s="1" t="s">
        <v>12</v>
      </c>
      <c r="H4" s="663" t="s">
        <v>111</v>
      </c>
      <c r="I4" s="664"/>
      <c r="J4" s="664"/>
      <c r="K4" s="664"/>
      <c r="L4" s="665"/>
      <c r="M4" s="492" t="s">
        <v>10</v>
      </c>
      <c r="N4" s="492" t="s">
        <v>10</v>
      </c>
      <c r="O4" s="492" t="s">
        <v>10</v>
      </c>
      <c r="P4" s="492" t="s">
        <v>11</v>
      </c>
      <c r="Q4" s="492" t="s">
        <v>12</v>
      </c>
    </row>
    <row r="5" spans="1:17" ht="23.25" customHeight="1">
      <c r="A5" s="37"/>
      <c r="B5" s="35" t="s">
        <v>13</v>
      </c>
      <c r="C5" s="34"/>
      <c r="D5" s="34"/>
      <c r="E5" s="40"/>
      <c r="F5" s="40"/>
      <c r="G5" s="40"/>
      <c r="H5" s="40"/>
      <c r="I5" s="40"/>
      <c r="J5" s="40"/>
      <c r="K5" s="40"/>
      <c r="L5" s="40"/>
      <c r="M5" s="493"/>
      <c r="N5" s="493"/>
      <c r="O5" s="493"/>
      <c r="P5" s="493"/>
      <c r="Q5" s="493"/>
    </row>
    <row r="6" spans="1:17" ht="23.25" customHeight="1">
      <c r="A6" s="37">
        <v>1</v>
      </c>
      <c r="B6" s="34" t="s">
        <v>14</v>
      </c>
      <c r="C6" s="85">
        <f ca="1">+'Salaries (% Plan Expenditure)'!C6+'IP as % of TRR'!C6+'Worksheet Pension &amp; RE'!C6</f>
        <v>763.67000000000007</v>
      </c>
      <c r="D6" s="85">
        <f ca="1">+'Salaries (% Plan Expenditure)'!D6+'IP as % of TRR'!D6+'Worksheet Pension &amp; RE'!D6</f>
        <v>1203.42</v>
      </c>
      <c r="E6" s="85">
        <f ca="1">+'Salaries (% Plan Expenditure)'!E6+'IP as % of TRR'!E6+'Worksheet Pension &amp; RE'!E6</f>
        <v>1872.38</v>
      </c>
      <c r="F6" s="85">
        <f ca="1">+'Salaries (% Plan Expenditure)'!F6+'IP as % of TRR'!F6+'Worksheet Pension &amp; RE'!F6</f>
        <v>1825.38</v>
      </c>
      <c r="G6" s="85">
        <f ca="1">+'Salaries (% Plan Expenditure)'!G6+'IP as % of TRR'!G6+'Worksheet Pension &amp; RE'!G6</f>
        <v>2160.5500000000002</v>
      </c>
      <c r="H6" s="103">
        <v>0.1198</v>
      </c>
      <c r="I6" s="103">
        <v>0.1212</v>
      </c>
      <c r="J6" s="103">
        <v>0.1227</v>
      </c>
      <c r="K6" s="103">
        <v>0.1241</v>
      </c>
      <c r="L6" s="103">
        <v>0.1255</v>
      </c>
      <c r="M6" s="494">
        <f t="shared" ref="M6:M17" si="0">+C6/H6</f>
        <v>6374.5409015025043</v>
      </c>
      <c r="N6" s="494">
        <f t="shared" ref="N6:N17" si="1">+D6/I6</f>
        <v>9929.2079207920797</v>
      </c>
      <c r="O6" s="494">
        <f t="shared" ref="O6:O16" si="2">+E6/J6</f>
        <v>15259.820700896496</v>
      </c>
      <c r="P6" s="494">
        <f t="shared" ref="P6:P17" si="3">+F6/K6</f>
        <v>14708.944399677679</v>
      </c>
      <c r="Q6" s="494">
        <f t="shared" ref="Q6:Q17" si="4">+G6/L6</f>
        <v>17215.537848605578</v>
      </c>
    </row>
    <row r="7" spans="1:17" ht="23.25" customHeight="1">
      <c r="A7" s="37">
        <v>2</v>
      </c>
      <c r="B7" s="34" t="s">
        <v>15</v>
      </c>
      <c r="C7" s="85">
        <f ca="1">+'Salaries (% Plan Expenditure)'!C7+'IP as % of TRR'!C7+'Worksheet Pension &amp; RE'!C7</f>
        <v>8620.27</v>
      </c>
      <c r="D7" s="85">
        <f ca="1">+'Salaries (% Plan Expenditure)'!D7+'IP as % of TRR'!D7+'Worksheet Pension &amp; RE'!D7</f>
        <v>8441.16</v>
      </c>
      <c r="E7" s="85">
        <f ca="1">+'Salaries (% Plan Expenditure)'!E7+'IP as % of TRR'!E7+'Worksheet Pension &amp; RE'!E7</f>
        <v>10068.18</v>
      </c>
      <c r="F7" s="85">
        <f ca="1">+'Salaries (% Plan Expenditure)'!F7+'IP as % of TRR'!F7+'Worksheet Pension &amp; RE'!F7</f>
        <v>12817.72</v>
      </c>
      <c r="G7" s="85">
        <f ca="1">+'Salaries (% Plan Expenditure)'!G7+'IP as % of TRR'!G7+'Worksheet Pension &amp; RE'!G7</f>
        <v>11899.63</v>
      </c>
      <c r="H7" s="103">
        <v>2.9434999999999998</v>
      </c>
      <c r="I7" s="103">
        <v>2.9813999999999998</v>
      </c>
      <c r="J7" s="103">
        <v>3.0190999999999999</v>
      </c>
      <c r="K7" s="103">
        <v>3.0568</v>
      </c>
      <c r="L7" s="103">
        <v>3.0945</v>
      </c>
      <c r="M7" s="494">
        <f t="shared" si="0"/>
        <v>2928.5782232036695</v>
      </c>
      <c r="N7" s="494">
        <f t="shared" si="1"/>
        <v>2831.2738981686457</v>
      </c>
      <c r="O7" s="494">
        <f t="shared" si="2"/>
        <v>3334.8282600775069</v>
      </c>
      <c r="P7" s="494">
        <f t="shared" si="3"/>
        <v>4193.1824129808947</v>
      </c>
      <c r="Q7" s="494">
        <f t="shared" si="4"/>
        <v>3845.4128292131199</v>
      </c>
    </row>
    <row r="8" spans="1:17" ht="23.25" customHeight="1">
      <c r="A8" s="37">
        <v>3</v>
      </c>
      <c r="B8" s="34" t="s">
        <v>16</v>
      </c>
      <c r="C8" s="85">
        <f ca="1">+'Salaries (% Plan Expenditure)'!C8+'IP as % of TRR'!C8+'Worksheet Pension &amp; RE'!C8</f>
        <v>5676.1399999999994</v>
      </c>
      <c r="D8" s="85">
        <f ca="1">+'Salaries (% Plan Expenditure)'!D8+'IP as % of TRR'!D8+'Worksheet Pension &amp; RE'!D8</f>
        <v>6362.38</v>
      </c>
      <c r="E8" s="85">
        <f ca="1">+'Salaries (% Plan Expenditure)'!E8+'IP as % of TRR'!E8+'Worksheet Pension &amp; RE'!E8</f>
        <v>7398.97</v>
      </c>
      <c r="F8" s="85">
        <f ca="1">+'Salaries (% Plan Expenditure)'!F8+'IP as % of TRR'!F8+'Worksheet Pension &amp; RE'!F8</f>
        <v>9222.2099999999991</v>
      </c>
      <c r="G8" s="85">
        <f ca="1">+'Salaries (% Plan Expenditure)'!G8+'IP as % of TRR'!G8+'Worksheet Pension &amp; RE'!G8</f>
        <v>10242.23</v>
      </c>
      <c r="H8" s="103">
        <v>0.65949999999999998</v>
      </c>
      <c r="I8" s="103">
        <v>0.66620000000000001</v>
      </c>
      <c r="J8" s="103">
        <v>0.67279999999999995</v>
      </c>
      <c r="K8" s="103">
        <v>0.67930000000000001</v>
      </c>
      <c r="L8" s="103">
        <v>0.68559999999999999</v>
      </c>
      <c r="M8" s="494">
        <f t="shared" si="0"/>
        <v>8606.732373009856</v>
      </c>
      <c r="N8" s="494">
        <f t="shared" si="1"/>
        <v>9550.2551786250369</v>
      </c>
      <c r="O8" s="494">
        <f t="shared" si="2"/>
        <v>10997.280023781213</v>
      </c>
      <c r="P8" s="494">
        <f t="shared" si="3"/>
        <v>13576.048873840717</v>
      </c>
      <c r="Q8" s="494">
        <f t="shared" si="4"/>
        <v>14939.075262543756</v>
      </c>
    </row>
    <row r="9" spans="1:17" ht="23.25" customHeight="1">
      <c r="A9" s="37">
        <v>4</v>
      </c>
      <c r="B9" s="34" t="s">
        <v>17</v>
      </c>
      <c r="C9" s="85">
        <f ca="1">+'Salaries (% Plan Expenditure)'!C9+'IP as % of TRR'!C9+'Worksheet Pension &amp; RE'!C9</f>
        <v>8103.05</v>
      </c>
      <c r="D9" s="85">
        <f ca="1">+'Salaries (% Plan Expenditure)'!D9+'IP as % of TRR'!D9+'Worksheet Pension &amp; RE'!D9</f>
        <v>7924.41</v>
      </c>
      <c r="E9" s="85">
        <f ca="1">+'Salaries (% Plan Expenditure)'!E9+'IP as % of TRR'!E9+'Worksheet Pension &amp; RE'!E9</f>
        <v>9729.41</v>
      </c>
      <c r="F9" s="85">
        <f ca="1">+'Salaries (% Plan Expenditure)'!F9+'IP as % of TRR'!F9+'Worksheet Pension &amp; RE'!F9</f>
        <v>12247.93</v>
      </c>
      <c r="G9" s="85">
        <f ca="1">+'Salaries (% Plan Expenditure)'!G9+'IP as % of TRR'!G9+'Worksheet Pension &amp; RE'!G9</f>
        <v>16787.55</v>
      </c>
      <c r="H9" s="103">
        <v>1.1256999999999999</v>
      </c>
      <c r="I9" s="103">
        <v>1.1414</v>
      </c>
      <c r="J9" s="103">
        <v>1.1568000000000001</v>
      </c>
      <c r="K9" s="103">
        <v>1.1718</v>
      </c>
      <c r="L9" s="103">
        <v>1.1865000000000001</v>
      </c>
      <c r="M9" s="494">
        <f t="shared" si="0"/>
        <v>7198.2322110686691</v>
      </c>
      <c r="N9" s="494">
        <f t="shared" si="1"/>
        <v>6942.710706150342</v>
      </c>
      <c r="O9" s="494">
        <f t="shared" si="2"/>
        <v>8410.6241355463335</v>
      </c>
      <c r="P9" s="494">
        <f t="shared" si="3"/>
        <v>10452.235876429426</v>
      </c>
      <c r="Q9" s="494">
        <f t="shared" si="4"/>
        <v>14148.798988621995</v>
      </c>
    </row>
    <row r="10" spans="1:17" ht="23.25" customHeight="1">
      <c r="A10" s="37">
        <v>5</v>
      </c>
      <c r="B10" s="34" t="s">
        <v>18</v>
      </c>
      <c r="C10" s="85">
        <f ca="1">+'Salaries (% Plan Expenditure)'!C10+'IP as % of TRR'!C10+'Worksheet Pension &amp; RE'!C10</f>
        <v>1394.42</v>
      </c>
      <c r="D10" s="85">
        <f ca="1">+'Salaries (% Plan Expenditure)'!D10+'IP as % of TRR'!D10+'Worksheet Pension &amp; RE'!D10</f>
        <v>1644.2099999999998</v>
      </c>
      <c r="E10" s="85">
        <f ca="1">+'Salaries (% Plan Expenditure)'!E10+'IP as % of TRR'!E10+'Worksheet Pension &amp; RE'!E10</f>
        <v>1764.25</v>
      </c>
      <c r="F10" s="85">
        <f ca="1">+'Salaries (% Plan Expenditure)'!F10+'IP as % of TRR'!F10+'Worksheet Pension &amp; RE'!F10</f>
        <v>2438.1</v>
      </c>
      <c r="G10" s="85">
        <f ca="1">+'Salaries (% Plan Expenditure)'!G10+'IP as % of TRR'!G10+'Worksheet Pension &amp; RE'!G10</f>
        <v>2623.61</v>
      </c>
      <c r="H10" s="103">
        <v>0.2364</v>
      </c>
      <c r="I10" s="103">
        <v>0.23930000000000001</v>
      </c>
      <c r="J10" s="103">
        <v>0.24210000000000001</v>
      </c>
      <c r="K10" s="103">
        <v>0.24490000000000001</v>
      </c>
      <c r="L10" s="103">
        <v>0.24779999999999999</v>
      </c>
      <c r="M10" s="494">
        <f t="shared" si="0"/>
        <v>5898.561759729273</v>
      </c>
      <c r="N10" s="494">
        <f t="shared" si="1"/>
        <v>6870.9151692436262</v>
      </c>
      <c r="O10" s="494">
        <f t="shared" si="2"/>
        <v>7287.2779843040062</v>
      </c>
      <c r="P10" s="494">
        <f t="shared" si="3"/>
        <v>9955.4920375663532</v>
      </c>
      <c r="Q10" s="494">
        <f t="shared" si="4"/>
        <v>10587.610976594029</v>
      </c>
    </row>
    <row r="11" spans="1:17" ht="23.25" customHeight="1">
      <c r="A11" s="37">
        <v>6</v>
      </c>
      <c r="B11" s="34" t="s">
        <v>19</v>
      </c>
      <c r="C11" s="85">
        <f ca="1">+'Salaries (% Plan Expenditure)'!C11+'IP as % of TRR'!C11+'Worksheet Pension &amp; RE'!C11</f>
        <v>1264.46</v>
      </c>
      <c r="D11" s="85">
        <f ca="1">+'Salaries (% Plan Expenditure)'!D11+'IP as % of TRR'!D11+'Worksheet Pension &amp; RE'!D11</f>
        <v>1398.98</v>
      </c>
      <c r="E11" s="85">
        <f ca="1">+'Salaries (% Plan Expenditure)'!E11+'IP as % of TRR'!E11+'Worksheet Pension &amp; RE'!E11</f>
        <v>1934.5100000000002</v>
      </c>
      <c r="F11" s="85">
        <f ca="1">+'Salaries (% Plan Expenditure)'!F11+'IP as % of TRR'!F11+'Worksheet Pension &amp; RE'!F11</f>
        <v>2429.64</v>
      </c>
      <c r="G11" s="85">
        <f ca="1">+'Salaries (% Plan Expenditure)'!G11+'IP as % of TRR'!G11+'Worksheet Pension &amp; RE'!G11</f>
        <v>2392.11</v>
      </c>
      <c r="H11" s="103">
        <v>0.253</v>
      </c>
      <c r="I11" s="103">
        <v>0.25600000000000001</v>
      </c>
      <c r="J11" s="103">
        <v>0.2591</v>
      </c>
      <c r="K11" s="103">
        <v>0.2621</v>
      </c>
      <c r="L11" s="103">
        <v>0.2651</v>
      </c>
      <c r="M11" s="494">
        <f t="shared" si="0"/>
        <v>4997.865612648221</v>
      </c>
      <c r="N11" s="494">
        <f t="shared" si="1"/>
        <v>5464.765625</v>
      </c>
      <c r="O11" s="494">
        <f t="shared" si="2"/>
        <v>7466.2678502508697</v>
      </c>
      <c r="P11" s="494">
        <f t="shared" si="3"/>
        <v>9269.8969858832497</v>
      </c>
      <c r="Q11" s="494">
        <f t="shared" si="4"/>
        <v>9023.4251225952466</v>
      </c>
    </row>
    <row r="12" spans="1:17" ht="23.25" customHeight="1">
      <c r="A12" s="37">
        <v>7</v>
      </c>
      <c r="B12" s="34" t="s">
        <v>20</v>
      </c>
      <c r="C12" s="85">
        <f ca="1">+'Salaries (% Plan Expenditure)'!C12+'IP as % of TRR'!C12+'Worksheet Pension &amp; RE'!C12</f>
        <v>902.99</v>
      </c>
      <c r="D12" s="85">
        <f ca="1">+'Salaries (% Plan Expenditure)'!D12+'IP as % of TRR'!D12+'Worksheet Pension &amp; RE'!D12</f>
        <v>1044.72</v>
      </c>
      <c r="E12" s="85">
        <f ca="1">+'Salaries (% Plan Expenditure)'!E12+'IP as % of TRR'!E12+'Worksheet Pension &amp; RE'!E12</f>
        <v>1261.3399999999999</v>
      </c>
      <c r="F12" s="85">
        <f ca="1">+'Salaries (% Plan Expenditure)'!F12+'IP as % of TRR'!F12+'Worksheet Pension &amp; RE'!F12</f>
        <v>1569.67</v>
      </c>
      <c r="G12" s="85">
        <f ca="1">+'Salaries (% Plan Expenditure)'!G12+'IP as % of TRR'!G12+'Worksheet Pension &amp; RE'!G12</f>
        <v>1705.98</v>
      </c>
      <c r="H12" s="103">
        <v>9.7000000000000003E-2</v>
      </c>
      <c r="I12" s="103">
        <v>9.8100000000000007E-2</v>
      </c>
      <c r="J12" s="103">
        <v>9.9299999999999999E-2</v>
      </c>
      <c r="K12" s="103">
        <v>0.1004</v>
      </c>
      <c r="L12" s="103">
        <v>0.1016</v>
      </c>
      <c r="M12" s="494">
        <f t="shared" si="0"/>
        <v>9309.1752577319585</v>
      </c>
      <c r="N12" s="494">
        <f t="shared" si="1"/>
        <v>10649.541284403669</v>
      </c>
      <c r="O12" s="494">
        <f t="shared" si="2"/>
        <v>12702.31621349446</v>
      </c>
      <c r="P12" s="494">
        <f t="shared" si="3"/>
        <v>15634.163346613546</v>
      </c>
      <c r="Q12" s="494">
        <f t="shared" si="4"/>
        <v>16791.141732283464</v>
      </c>
    </row>
    <row r="13" spans="1:17" ht="23.25" customHeight="1">
      <c r="A13" s="37">
        <v>8</v>
      </c>
      <c r="B13" s="34" t="s">
        <v>21</v>
      </c>
      <c r="C13" s="85">
        <f ca="1">+'Salaries (% Plan Expenditure)'!C13+'IP as % of TRR'!C13+'Worksheet Pension &amp; RE'!C13</f>
        <v>1653.66</v>
      </c>
      <c r="D13" s="85">
        <f ca="1">+'Salaries (% Plan Expenditure)'!D13+'IP as % of TRR'!D13+'Worksheet Pension &amp; RE'!D13</f>
        <v>1797.27</v>
      </c>
      <c r="E13" s="85">
        <f ca="1">+'Salaries (% Plan Expenditure)'!E13+'IP as % of TRR'!E13+'Worksheet Pension &amp; RE'!E13</f>
        <v>2135.44</v>
      </c>
      <c r="F13" s="85">
        <f ca="1">+'Salaries (% Plan Expenditure)'!F13+'IP as % of TRR'!F13+'Worksheet Pension &amp; RE'!F13</f>
        <v>2841.22</v>
      </c>
      <c r="G13" s="85">
        <f ca="1">+'Salaries (% Plan Expenditure)'!G13+'IP as % of TRR'!G13+'Worksheet Pension &amp; RE'!G13</f>
        <v>3355.14</v>
      </c>
      <c r="H13" s="103">
        <v>0.21709999999999999</v>
      </c>
      <c r="I13" s="103">
        <v>0.21970000000000001</v>
      </c>
      <c r="J13" s="103">
        <v>0.2223</v>
      </c>
      <c r="K13" s="103">
        <v>0.22489999999999999</v>
      </c>
      <c r="L13" s="103">
        <v>0.22750000000000001</v>
      </c>
      <c r="M13" s="494">
        <f t="shared" si="0"/>
        <v>7617.0428374021194</v>
      </c>
      <c r="N13" s="494">
        <f t="shared" si="1"/>
        <v>8180.5644060081922</v>
      </c>
      <c r="O13" s="494">
        <f t="shared" si="2"/>
        <v>9606.1178587494378</v>
      </c>
      <c r="P13" s="494">
        <f t="shared" si="3"/>
        <v>12633.259226322811</v>
      </c>
      <c r="Q13" s="494">
        <f t="shared" si="4"/>
        <v>14747.86813186813</v>
      </c>
    </row>
    <row r="14" spans="1:17" ht="23.25" customHeight="1">
      <c r="A14" s="37">
        <v>9</v>
      </c>
      <c r="B14" s="34" t="s">
        <v>22</v>
      </c>
      <c r="C14" s="85">
        <f ca="1">+'Salaries (% Plan Expenditure)'!C14+'IP as % of TRR'!C14+'Worksheet Pension &amp; RE'!C14</f>
        <v>660.83999999999992</v>
      </c>
      <c r="D14" s="85">
        <f ca="1">+'Salaries (% Plan Expenditure)'!D14+'IP as % of TRR'!D14+'Worksheet Pension &amp; RE'!D14</f>
        <v>778.53000000000009</v>
      </c>
      <c r="E14" s="85">
        <f ca="1">+'Salaries (% Plan Expenditure)'!E14+'IP as % of TRR'!E14+'Worksheet Pension &amp; RE'!E14</f>
        <v>1248.94</v>
      </c>
      <c r="F14" s="85">
        <f ca="1">+'Salaries (% Plan Expenditure)'!F14+'IP as % of TRR'!F14+'Worksheet Pension &amp; RE'!F14</f>
        <v>1442.6999999999998</v>
      </c>
      <c r="G14" s="85">
        <f ca="1">+'Salaries (% Plan Expenditure)'!G14+'IP as % of TRR'!G14+'Worksheet Pension &amp; RE'!G14</f>
        <v>1374.16</v>
      </c>
      <c r="H14" s="103">
        <v>5.91E-2</v>
      </c>
      <c r="I14" s="103">
        <v>5.9799999999999999E-2</v>
      </c>
      <c r="J14" s="103">
        <v>6.0499999999999998E-2</v>
      </c>
      <c r="K14" s="103">
        <v>6.1199999999999997E-2</v>
      </c>
      <c r="L14" s="103">
        <v>6.1899999999999997E-2</v>
      </c>
      <c r="M14" s="494">
        <f t="shared" si="0"/>
        <v>11181.725888324872</v>
      </c>
      <c r="N14" s="494">
        <f t="shared" si="1"/>
        <v>13018.896321070235</v>
      </c>
      <c r="O14" s="494">
        <f t="shared" si="2"/>
        <v>20643.636363636364</v>
      </c>
      <c r="P14" s="494">
        <f t="shared" si="3"/>
        <v>23573.529411764703</v>
      </c>
      <c r="Q14" s="494">
        <f t="shared" si="4"/>
        <v>22199.676898222944</v>
      </c>
    </row>
    <row r="15" spans="1:17" ht="23.25" customHeight="1">
      <c r="A15" s="37">
        <v>10</v>
      </c>
      <c r="B15" s="34" t="s">
        <v>23</v>
      </c>
      <c r="C15" s="85">
        <f ca="1">+'Salaries (% Plan Expenditure)'!C15+'IP as % of TRR'!C15+'Worksheet Pension &amp; RE'!C15</f>
        <v>2019.43</v>
      </c>
      <c r="D15" s="85">
        <f ca="1">+'Salaries (% Plan Expenditure)'!D15+'IP as % of TRR'!D15+'Worksheet Pension &amp; RE'!D15</f>
        <v>2161.89</v>
      </c>
      <c r="E15" s="85">
        <f ca="1">+'Salaries (% Plan Expenditure)'!E15+'IP as % of TRR'!E15+'Worksheet Pension &amp; RE'!E15</f>
        <v>2940.95</v>
      </c>
      <c r="F15" s="85">
        <f ca="1">+'Salaries (% Plan Expenditure)'!F15+'IP as % of TRR'!F15+'Worksheet Pension &amp; RE'!F15</f>
        <v>3298.2400000000002</v>
      </c>
      <c r="G15" s="85">
        <f ca="1">+'Salaries (% Plan Expenditure)'!G15+'IP as % of TRR'!G15+'Worksheet Pension &amp; RE'!G15</f>
        <v>3697.5</v>
      </c>
      <c r="H15" s="103">
        <v>0.34910000000000002</v>
      </c>
      <c r="I15" s="103">
        <v>0.35320000000000001</v>
      </c>
      <c r="J15" s="103">
        <v>0.3574</v>
      </c>
      <c r="K15" s="103">
        <v>0.36159999999999998</v>
      </c>
      <c r="L15" s="103">
        <v>0.36580000000000001</v>
      </c>
      <c r="M15" s="494">
        <f t="shared" si="0"/>
        <v>5784.6748782583782</v>
      </c>
      <c r="N15" s="494">
        <f t="shared" si="1"/>
        <v>6120.8663646659106</v>
      </c>
      <c r="O15" s="494">
        <f t="shared" si="2"/>
        <v>8228.735310576385</v>
      </c>
      <c r="P15" s="494">
        <f t="shared" si="3"/>
        <v>9121.2389380530985</v>
      </c>
      <c r="Q15" s="494">
        <f t="shared" si="4"/>
        <v>10107.982504100601</v>
      </c>
    </row>
    <row r="16" spans="1:17" ht="23.25" customHeight="1">
      <c r="A16" s="37">
        <v>11</v>
      </c>
      <c r="B16" s="34" t="s">
        <v>24</v>
      </c>
      <c r="C16" s="85">
        <f ca="1">+'Salaries (% Plan Expenditure)'!C16+'IP as % of TRR'!C16+'Worksheet Pension &amp; RE'!C16</f>
        <v>4021.08</v>
      </c>
      <c r="D16" s="85">
        <f ca="1">+'Salaries (% Plan Expenditure)'!D16+'IP as % of TRR'!D16+'Worksheet Pension &amp; RE'!D16</f>
        <v>5365.66</v>
      </c>
      <c r="E16" s="85">
        <f ca="1">+'Salaries (% Plan Expenditure)'!E16+'IP as % of TRR'!E16+'Worksheet Pension &amp; RE'!E16</f>
        <v>7453.83</v>
      </c>
      <c r="F16" s="85">
        <f ca="1">+'Salaries (% Plan Expenditure)'!F16+'IP as % of TRR'!F16+'Worksheet Pension &amp; RE'!F16</f>
        <v>7132.41</v>
      </c>
      <c r="G16" s="85">
        <f ca="1">+'Salaries (% Plan Expenditure)'!G16+'IP as % of TRR'!G16+'Worksheet Pension &amp; RE'!G16</f>
        <v>8897.23</v>
      </c>
      <c r="H16" s="103">
        <v>0.95109999999999995</v>
      </c>
      <c r="I16" s="103">
        <v>0.96560000000000001</v>
      </c>
      <c r="J16" s="103">
        <v>0.98</v>
      </c>
      <c r="K16" s="103">
        <v>0.99429999999999996</v>
      </c>
      <c r="L16" s="103">
        <v>1.0084</v>
      </c>
      <c r="M16" s="494">
        <f t="shared" si="0"/>
        <v>4227.820418462833</v>
      </c>
      <c r="N16" s="494">
        <f t="shared" si="1"/>
        <v>5556.8144159072081</v>
      </c>
      <c r="O16" s="494">
        <f t="shared" si="2"/>
        <v>7605.9489795918371</v>
      </c>
      <c r="P16" s="494">
        <f t="shared" si="3"/>
        <v>7173.2977974454388</v>
      </c>
      <c r="Q16" s="494">
        <f t="shared" si="4"/>
        <v>8823.1158270527576</v>
      </c>
    </row>
    <row r="17" spans="1:17" s="44" customFormat="1" ht="23.25" customHeight="1">
      <c r="A17" s="106"/>
      <c r="B17" s="35" t="s">
        <v>25</v>
      </c>
      <c r="C17" s="86">
        <f t="shared" ref="C17:L17" si="5">SUM(C6:C16)</f>
        <v>35080.01</v>
      </c>
      <c r="D17" s="86">
        <f t="shared" si="5"/>
        <v>38122.629999999997</v>
      </c>
      <c r="E17" s="78">
        <f ca="1">SUM(E6:E16)</f>
        <v>47808.200000000004</v>
      </c>
      <c r="F17" s="78">
        <f t="shared" si="5"/>
        <v>57265.219999999987</v>
      </c>
      <c r="G17" s="78">
        <f t="shared" si="5"/>
        <v>65135.69</v>
      </c>
      <c r="H17" s="102">
        <f t="shared" si="5"/>
        <v>7.0113000000000003</v>
      </c>
      <c r="I17" s="102">
        <f t="shared" si="5"/>
        <v>7.1019000000000005</v>
      </c>
      <c r="J17" s="102">
        <f t="shared" si="5"/>
        <v>7.1920999999999999</v>
      </c>
      <c r="K17" s="102">
        <f t="shared" si="5"/>
        <v>7.2814000000000005</v>
      </c>
      <c r="L17" s="102">
        <f t="shared" si="5"/>
        <v>7.3702000000000005</v>
      </c>
      <c r="M17" s="495">
        <f t="shared" si="0"/>
        <v>5003.3531584727516</v>
      </c>
      <c r="N17" s="495">
        <f t="shared" si="1"/>
        <v>5367.9480139117695</v>
      </c>
      <c r="O17" s="495">
        <f>+E17/J17</f>
        <v>6647.3213664993546</v>
      </c>
      <c r="P17" s="495">
        <f t="shared" si="3"/>
        <v>7864.5892273463869</v>
      </c>
      <c r="Q17" s="495">
        <f t="shared" si="4"/>
        <v>8837.7099671650703</v>
      </c>
    </row>
    <row r="18" spans="1:17" ht="23.25" customHeight="1">
      <c r="A18" s="37"/>
      <c r="B18" s="35" t="s">
        <v>26</v>
      </c>
      <c r="C18" s="85"/>
      <c r="D18" s="85"/>
      <c r="E18" s="18"/>
      <c r="F18" s="18"/>
      <c r="G18" s="18"/>
      <c r="H18" s="18"/>
      <c r="I18" s="18"/>
      <c r="J18" s="18"/>
      <c r="K18" s="18"/>
      <c r="L18" s="18"/>
      <c r="M18" s="494"/>
      <c r="N18" s="494"/>
      <c r="O18" s="494"/>
      <c r="P18" s="494"/>
      <c r="Q18" s="494"/>
    </row>
    <row r="19" spans="1:17" ht="23.25" customHeight="1">
      <c r="A19" s="37">
        <v>12</v>
      </c>
      <c r="B19" s="34" t="s">
        <v>27</v>
      </c>
      <c r="C19" s="85">
        <f ca="1">+'Salaries (% Plan Expenditure)'!C19+'IP as % of TRR'!C19+'Worksheet Pension &amp; RE'!C19</f>
        <v>24551.93</v>
      </c>
      <c r="D19" s="85">
        <f ca="1">+'Salaries (% Plan Expenditure)'!D19+'IP as % of TRR'!D19+'Worksheet Pension &amp; RE'!D19</f>
        <v>26458.44</v>
      </c>
      <c r="E19" s="85">
        <f ca="1">+'Salaries (% Plan Expenditure)'!E19+'IP as % of TRR'!E19+'Worksheet Pension &amp; RE'!E19</f>
        <v>30959.18</v>
      </c>
      <c r="F19" s="85">
        <f ca="1">+'Salaries (% Plan Expenditure)'!F19+'IP as % of TRR'!F19+'Worksheet Pension &amp; RE'!F19</f>
        <v>40412.49</v>
      </c>
      <c r="G19" s="85">
        <f ca="1">+'Salaries (% Plan Expenditure)'!G19+'IP as % of TRR'!G19+'Worksheet Pension &amp; RE'!G19</f>
        <v>48261.07</v>
      </c>
      <c r="H19" s="103">
        <v>8.2375000000000007</v>
      </c>
      <c r="I19" s="103">
        <v>8.3178000000000001</v>
      </c>
      <c r="J19" s="103">
        <v>8.3963999999999999</v>
      </c>
      <c r="K19" s="103">
        <v>8.4734999999999996</v>
      </c>
      <c r="L19" s="103">
        <v>8.5490999999999993</v>
      </c>
      <c r="M19" s="494">
        <f t="shared" ref="M19:M36" si="6">+C19/H19</f>
        <v>2980.5074355083457</v>
      </c>
      <c r="N19" s="494">
        <f t="shared" ref="N19:N36" si="7">+D19/I19</f>
        <v>3180.9420760297194</v>
      </c>
      <c r="O19" s="494">
        <f t="shared" ref="O19:O36" si="8">+E19/J19</f>
        <v>3687.1968939069125</v>
      </c>
      <c r="P19" s="494">
        <f t="shared" ref="P19:P36" si="9">+F19/K19</f>
        <v>4769.279518498849</v>
      </c>
      <c r="Q19" s="494">
        <f t="shared" ref="Q19:Q36" si="10">+G19/L19</f>
        <v>5645.1638184136345</v>
      </c>
    </row>
    <row r="20" spans="1:17" ht="23.25" customHeight="1">
      <c r="A20" s="37">
        <v>13</v>
      </c>
      <c r="B20" s="34" t="s">
        <v>28</v>
      </c>
      <c r="C20" s="85">
        <f ca="1">+'Salaries (% Plan Expenditure)'!C20+'IP as % of TRR'!C20+'Worksheet Pension &amp; RE'!C20</f>
        <v>12980.69</v>
      </c>
      <c r="D20" s="85">
        <f ca="1">+'Salaries (% Plan Expenditure)'!D20+'IP as % of TRR'!D20+'Worksheet Pension &amp; RE'!D20</f>
        <v>14890.460000000001</v>
      </c>
      <c r="E20" s="85">
        <f ca="1">+'Salaries (% Plan Expenditure)'!E20+'IP as % of TRR'!E20+'Worksheet Pension &amp; RE'!E20</f>
        <v>17576.87</v>
      </c>
      <c r="F20" s="85">
        <f ca="1">+'Salaries (% Plan Expenditure)'!F20+'IP as % of TRR'!F20+'Worksheet Pension &amp; RE'!F20</f>
        <v>21012.87</v>
      </c>
      <c r="G20" s="85">
        <f ca="1">+'Salaries (% Plan Expenditure)'!G20+'IP as % of TRR'!G20+'Worksheet Pension &amp; RE'!G20</f>
        <v>25533.47</v>
      </c>
      <c r="H20" s="103">
        <v>9.3633000000000006</v>
      </c>
      <c r="I20" s="103">
        <v>9.5025999999999993</v>
      </c>
      <c r="J20" s="103">
        <v>9.6388999999999996</v>
      </c>
      <c r="K20" s="103">
        <v>9.7720000000000002</v>
      </c>
      <c r="L20" s="103">
        <v>9.9019999999999992</v>
      </c>
      <c r="M20" s="494">
        <f t="shared" si="6"/>
        <v>1386.3370820116838</v>
      </c>
      <c r="N20" s="494">
        <f t="shared" si="7"/>
        <v>1566.9879822364408</v>
      </c>
      <c r="O20" s="494">
        <f t="shared" si="8"/>
        <v>1823.5348431875007</v>
      </c>
      <c r="P20" s="494">
        <f t="shared" si="9"/>
        <v>2150.3141629144493</v>
      </c>
      <c r="Q20" s="494">
        <f t="shared" si="10"/>
        <v>2578.6174510199962</v>
      </c>
    </row>
    <row r="21" spans="1:17" ht="23.25" customHeight="1">
      <c r="A21" s="37">
        <v>14</v>
      </c>
      <c r="B21" s="34" t="s">
        <v>29</v>
      </c>
      <c r="C21" s="85">
        <f ca="1">+'Salaries (% Plan Expenditure)'!C21+'IP as % of TRR'!C21+'Worksheet Pension &amp; RE'!C21</f>
        <v>4115.18</v>
      </c>
      <c r="D21" s="85">
        <f ca="1">+'Salaries (% Plan Expenditure)'!D21+'IP as % of TRR'!D21+'Worksheet Pension &amp; RE'!D21</f>
        <v>4823.24</v>
      </c>
      <c r="E21" s="85">
        <f ca="1">+'Salaries (% Plan Expenditure)'!E21+'IP as % of TRR'!E21+'Worksheet Pension &amp; RE'!E21</f>
        <v>5793.05</v>
      </c>
      <c r="F21" s="85">
        <f ca="1">+'Salaries (% Plan Expenditure)'!F21+'IP as % of TRR'!F21+'Worksheet Pension &amp; RE'!F21</f>
        <v>9222.2100000000009</v>
      </c>
      <c r="G21" s="85">
        <f ca="1">+'Salaries (% Plan Expenditure)'!G21+'IP as % of TRR'!G21+'Worksheet Pension &amp; RE'!G21</f>
        <v>8655.23</v>
      </c>
      <c r="H21" s="103">
        <v>2.3269000000000002</v>
      </c>
      <c r="I21" s="103">
        <v>2.36</v>
      </c>
      <c r="J21" s="103">
        <v>2.3929</v>
      </c>
      <c r="K21" s="103">
        <v>2.4258000000000002</v>
      </c>
      <c r="L21" s="103">
        <v>2.4584999999999999</v>
      </c>
      <c r="M21" s="494">
        <f t="shared" si="6"/>
        <v>1768.5246465254202</v>
      </c>
      <c r="N21" s="494">
        <f t="shared" si="7"/>
        <v>2043.7457627118645</v>
      </c>
      <c r="O21" s="494">
        <f t="shared" si="8"/>
        <v>2420.9327594132642</v>
      </c>
      <c r="P21" s="494">
        <f t="shared" si="9"/>
        <v>3801.71902052931</v>
      </c>
      <c r="Q21" s="494">
        <f t="shared" si="10"/>
        <v>3520.5328452308318</v>
      </c>
    </row>
    <row r="22" spans="1:17" ht="23.25" customHeight="1">
      <c r="A22" s="37">
        <v>15</v>
      </c>
      <c r="B22" s="34" t="s">
        <v>30</v>
      </c>
      <c r="C22" s="85">
        <f ca="1">+'Salaries (% Plan Expenditure)'!C22+'IP as % of TRR'!C22+'Worksheet Pension &amp; RE'!C22</f>
        <v>1056.94</v>
      </c>
      <c r="D22" s="85">
        <f ca="1">+'Salaries (% Plan Expenditure)'!D22+'IP as % of TRR'!D22+'Worksheet Pension &amp; RE'!D22</f>
        <v>1306.1500000000001</v>
      </c>
      <c r="E22" s="85">
        <f ca="1">+'Salaries (% Plan Expenditure)'!E22+'IP as % of TRR'!E22+'Worksheet Pension &amp; RE'!E22</f>
        <v>1830.64</v>
      </c>
      <c r="F22" s="85">
        <f ca="1">+'Salaries (% Plan Expenditure)'!F22+'IP as % of TRR'!F22+'Worksheet Pension &amp; RE'!F22</f>
        <v>2027.9</v>
      </c>
      <c r="G22" s="85">
        <f ca="1">+'Salaries (% Plan Expenditure)'!G22+'IP as % of TRR'!G22+'Worksheet Pension &amp; RE'!G22</f>
        <v>2216.04</v>
      </c>
      <c r="H22" s="103">
        <v>0.15959999999999999</v>
      </c>
      <c r="I22" s="103">
        <v>0.16550000000000001</v>
      </c>
      <c r="J22" s="103">
        <v>0.1714</v>
      </c>
      <c r="K22" s="103">
        <v>0.1767</v>
      </c>
      <c r="L22" s="103">
        <v>0.1817</v>
      </c>
      <c r="M22" s="494">
        <f t="shared" si="6"/>
        <v>6622.4310776942366</v>
      </c>
      <c r="N22" s="494">
        <f t="shared" si="7"/>
        <v>7892.1450151057406</v>
      </c>
      <c r="O22" s="494">
        <f t="shared" si="8"/>
        <v>10680.513418903151</v>
      </c>
      <c r="P22" s="494">
        <f t="shared" si="9"/>
        <v>11476.513865308432</v>
      </c>
      <c r="Q22" s="494">
        <f t="shared" si="10"/>
        <v>12196.147495872317</v>
      </c>
    </row>
    <row r="23" spans="1:17" ht="23.25" customHeight="1">
      <c r="A23" s="37">
        <v>16</v>
      </c>
      <c r="B23" s="34" t="s">
        <v>31</v>
      </c>
      <c r="C23" s="85">
        <f ca="1">+'Salaries (% Plan Expenditure)'!C23+'IP as % of TRR'!C23+'Worksheet Pension &amp; RE'!C23</f>
        <v>17817.04</v>
      </c>
      <c r="D23" s="85">
        <f ca="1">+'Salaries (% Plan Expenditure)'!D23+'IP as % of TRR'!D23+'Worksheet Pension &amp; RE'!D23</f>
        <v>18200.07</v>
      </c>
      <c r="E23" s="85">
        <f ca="1">+'Salaries (% Plan Expenditure)'!E23+'IP as % of TRR'!E23+'Worksheet Pension &amp; RE'!E23</f>
        <v>20456.3</v>
      </c>
      <c r="F23" s="85">
        <f ca="1">+'Salaries (% Plan Expenditure)'!F23+'IP as % of TRR'!F23+'Worksheet Pension &amp; RE'!F23</f>
        <v>30612.080000000002</v>
      </c>
      <c r="G23" s="85">
        <f ca="1">+'Salaries (% Plan Expenditure)'!G23+'IP as % of TRR'!G23+'Worksheet Pension &amp; RE'!G23</f>
        <v>32922.67</v>
      </c>
      <c r="H23" s="103">
        <v>5.6626000000000003</v>
      </c>
      <c r="I23" s="103">
        <v>5.7434000000000003</v>
      </c>
      <c r="J23" s="103">
        <v>5.8231999999999999</v>
      </c>
      <c r="K23" s="103">
        <v>5.9020000000000001</v>
      </c>
      <c r="L23" s="103">
        <v>5.98</v>
      </c>
      <c r="M23" s="494">
        <f t="shared" si="6"/>
        <v>3146.4415639458907</v>
      </c>
      <c r="N23" s="494">
        <f t="shared" si="7"/>
        <v>3168.866873280635</v>
      </c>
      <c r="O23" s="494">
        <f t="shared" si="8"/>
        <v>3512.8966891056461</v>
      </c>
      <c r="P23" s="494">
        <f t="shared" si="9"/>
        <v>5186.729922060319</v>
      </c>
      <c r="Q23" s="494">
        <f t="shared" si="10"/>
        <v>5505.4632107023408</v>
      </c>
    </row>
    <row r="24" spans="1:17" ht="23.25" customHeight="1">
      <c r="A24" s="37">
        <v>17</v>
      </c>
      <c r="B24" s="34" t="s">
        <v>32</v>
      </c>
      <c r="C24" s="85">
        <f ca="1">+'Salaries (% Plan Expenditure)'!C24+'IP as % of TRR'!C24+'Worksheet Pension &amp; RE'!C24</f>
        <v>7860</v>
      </c>
      <c r="D24" s="85">
        <f ca="1">+'Salaries (% Plan Expenditure)'!D24+'IP as % of TRR'!D24+'Worksheet Pension &amp; RE'!D24</f>
        <v>10212</v>
      </c>
      <c r="E24" s="85">
        <f ca="1">+'Salaries (% Plan Expenditure)'!E24+'IP as % of TRR'!E24+'Worksheet Pension &amp; RE'!E24</f>
        <v>13555</v>
      </c>
      <c r="F24" s="85">
        <f ca="1">+'Salaries (% Plan Expenditure)'!F24+'IP as % of TRR'!F24+'Worksheet Pension &amp; RE'!F24</f>
        <v>15936</v>
      </c>
      <c r="G24" s="85">
        <f ca="1">+'Salaries (% Plan Expenditure)'!G24+'IP as % of TRR'!G24+'Worksheet Pension &amp; RE'!G24</f>
        <v>17910</v>
      </c>
      <c r="H24" s="103">
        <v>2.4171</v>
      </c>
      <c r="I24" s="103">
        <v>2.4597000000000002</v>
      </c>
      <c r="J24" s="103">
        <v>2.5019999999999998</v>
      </c>
      <c r="K24" s="103">
        <v>2.5438999999999998</v>
      </c>
      <c r="L24" s="103">
        <v>2.5853999999999999</v>
      </c>
      <c r="M24" s="494">
        <f t="shared" si="6"/>
        <v>3251.8307062181952</v>
      </c>
      <c r="N24" s="494">
        <f t="shared" si="7"/>
        <v>4151.7258202219782</v>
      </c>
      <c r="O24" s="494">
        <f t="shared" si="8"/>
        <v>5417.6658673061556</v>
      </c>
      <c r="P24" s="494">
        <f t="shared" si="9"/>
        <v>6264.3971854239562</v>
      </c>
      <c r="Q24" s="494">
        <f t="shared" si="10"/>
        <v>6927.3613367370626</v>
      </c>
    </row>
    <row r="25" spans="1:17" ht="23.25" customHeight="1">
      <c r="A25" s="37">
        <v>18</v>
      </c>
      <c r="B25" s="34" t="s">
        <v>33</v>
      </c>
      <c r="C25" s="85">
        <f ca="1">+'Salaries (% Plan Expenditure)'!C25+'IP as % of TRR'!C25+'Worksheet Pension &amp; RE'!C25</f>
        <v>5743.08</v>
      </c>
      <c r="D25" s="85">
        <f ca="1">+'Salaries (% Plan Expenditure)'!D25+'IP as % of TRR'!D25+'Worksheet Pension &amp; RE'!D25</f>
        <v>6823.0199999999995</v>
      </c>
      <c r="E25" s="85">
        <f ca="1">+'Salaries (% Plan Expenditure)'!E25+'IP as % of TRR'!E25+'Worksheet Pension &amp; RE'!E25</f>
        <v>9382.3499999999985</v>
      </c>
      <c r="F25" s="85">
        <f ca="1">+'Salaries (% Plan Expenditure)'!F25+'IP as % of TRR'!F25+'Worksheet Pension &amp; RE'!F25</f>
        <v>10120.36</v>
      </c>
      <c r="G25" s="85">
        <f ca="1">+'Salaries (% Plan Expenditure)'!G25+'IP as % of TRR'!G25+'Worksheet Pension &amp; RE'!G25</f>
        <v>10447.730000000001</v>
      </c>
      <c r="H25" s="103">
        <v>3.0181</v>
      </c>
      <c r="I25" s="103">
        <v>3.0611000000000002</v>
      </c>
      <c r="J25" s="103">
        <v>3.1040000000000001</v>
      </c>
      <c r="K25" s="103">
        <v>3.1472000000000002</v>
      </c>
      <c r="L25" s="103">
        <v>3.1903999999999999</v>
      </c>
      <c r="M25" s="494">
        <f t="shared" si="6"/>
        <v>1902.8792949206454</v>
      </c>
      <c r="N25" s="494">
        <f t="shared" si="7"/>
        <v>2228.9438437163108</v>
      </c>
      <c r="O25" s="494">
        <f t="shared" si="8"/>
        <v>3022.6643041237107</v>
      </c>
      <c r="P25" s="494">
        <f t="shared" si="9"/>
        <v>3215.6710726995425</v>
      </c>
      <c r="Q25" s="494">
        <f t="shared" si="10"/>
        <v>3274.7398445336012</v>
      </c>
    </row>
    <row r="26" spans="1:17" ht="23.25" customHeight="1">
      <c r="A26" s="37">
        <v>19</v>
      </c>
      <c r="B26" s="34" t="s">
        <v>34</v>
      </c>
      <c r="C26" s="85">
        <f ca="1">+'Salaries (% Plan Expenditure)'!C26+'IP as % of TRR'!C26+'Worksheet Pension &amp; RE'!C26</f>
        <v>16156.58</v>
      </c>
      <c r="D26" s="85">
        <f ca="1">+'Salaries (% Plan Expenditure)'!D26+'IP as % of TRR'!D26+'Worksheet Pension &amp; RE'!D26</f>
        <v>18571.940000000002</v>
      </c>
      <c r="E26" s="85">
        <f ca="1">+'Salaries (% Plan Expenditure)'!E26+'IP as % of TRR'!E26+'Worksheet Pension &amp; RE'!E26</f>
        <v>18916.91</v>
      </c>
      <c r="F26" s="85">
        <f ca="1">+'Salaries (% Plan Expenditure)'!F26+'IP as % of TRR'!F26+'Worksheet Pension &amp; RE'!F26</f>
        <v>21850</v>
      </c>
      <c r="G26" s="85">
        <f ca="1">+'Salaries (% Plan Expenditure)'!G26+'IP as % of TRR'!G26+'Worksheet Pension &amp; RE'!G26</f>
        <v>27392</v>
      </c>
      <c r="H26" s="103">
        <v>5.7549999999999999</v>
      </c>
      <c r="I26" s="103">
        <v>5.8181000000000003</v>
      </c>
      <c r="J26" s="103">
        <v>5.8803999999999998</v>
      </c>
      <c r="K26" s="103">
        <v>5.9419000000000004</v>
      </c>
      <c r="L26" s="103">
        <v>6.0026000000000002</v>
      </c>
      <c r="M26" s="494">
        <f t="shared" si="6"/>
        <v>2807.3987836663773</v>
      </c>
      <c r="N26" s="494">
        <f t="shared" si="7"/>
        <v>3192.0970763651367</v>
      </c>
      <c r="O26" s="494">
        <f t="shared" si="8"/>
        <v>3216.9427249846949</v>
      </c>
      <c r="P26" s="494">
        <f t="shared" si="9"/>
        <v>3677.2749457244313</v>
      </c>
      <c r="Q26" s="494">
        <f t="shared" si="10"/>
        <v>4563.355879119048</v>
      </c>
    </row>
    <row r="27" spans="1:17" ht="23.25" customHeight="1">
      <c r="A27" s="37">
        <v>20</v>
      </c>
      <c r="B27" s="34" t="s">
        <v>35</v>
      </c>
      <c r="C27" s="85">
        <f ca="1">+'Salaries (% Plan Expenditure)'!C27+'IP as % of TRR'!C27+'Worksheet Pension &amp; RE'!C27</f>
        <v>16621.3</v>
      </c>
      <c r="D27" s="85">
        <f ca="1">+'Salaries (% Plan Expenditure)'!D27+'IP as % of TRR'!D27+'Worksheet Pension &amp; RE'!D27</f>
        <v>18147.07</v>
      </c>
      <c r="E27" s="85">
        <f ca="1">+'Salaries (% Plan Expenditure)'!E27+'IP as % of TRR'!E27+'Worksheet Pension &amp; RE'!E27</f>
        <v>19797.36</v>
      </c>
      <c r="F27" s="85">
        <f ca="1">+'Salaries (% Plan Expenditure)'!F27+'IP as % of TRR'!F27+'Worksheet Pension &amp; RE'!F27</f>
        <v>22155.47</v>
      </c>
      <c r="G27" s="85">
        <f ca="1">+'Salaries (% Plan Expenditure)'!G27+'IP as % of TRR'!G27+'Worksheet Pension &amp; RE'!G27</f>
        <v>29892.36</v>
      </c>
      <c r="H27" s="103">
        <v>3.3801999999999999</v>
      </c>
      <c r="I27" s="103">
        <v>3.4062999999999999</v>
      </c>
      <c r="J27" s="103">
        <v>3.4317000000000002</v>
      </c>
      <c r="K27" s="103">
        <v>3.4563000000000001</v>
      </c>
      <c r="L27" s="103">
        <v>3.4802</v>
      </c>
      <c r="M27" s="494">
        <f t="shared" si="6"/>
        <v>4917.2534169575765</v>
      </c>
      <c r="N27" s="494">
        <f t="shared" si="7"/>
        <v>5327.5019816222884</v>
      </c>
      <c r="O27" s="494">
        <f t="shared" si="8"/>
        <v>5768.9658186904444</v>
      </c>
      <c r="P27" s="494">
        <f t="shared" si="9"/>
        <v>6410.169834794433</v>
      </c>
      <c r="Q27" s="494">
        <f t="shared" si="10"/>
        <v>8589.2649847709908</v>
      </c>
    </row>
    <row r="28" spans="1:17" ht="23.25" customHeight="1">
      <c r="A28" s="37">
        <v>21</v>
      </c>
      <c r="B28" s="34" t="s">
        <v>36</v>
      </c>
      <c r="C28" s="85">
        <f ca="1">+'Salaries (% Plan Expenditure)'!C28+'IP as % of TRR'!C28+'Worksheet Pension &amp; RE'!C28</f>
        <v>12688.690000000002</v>
      </c>
      <c r="D28" s="85">
        <f ca="1">+'Salaries (% Plan Expenditure)'!D28+'IP as % of TRR'!D28+'Worksheet Pension &amp; RE'!D28</f>
        <v>14701.93</v>
      </c>
      <c r="E28" s="85">
        <f ca="1">+'Salaries (% Plan Expenditure)'!E28+'IP as % of TRR'!E28+'Worksheet Pension &amp; RE'!E28</f>
        <v>17703.37</v>
      </c>
      <c r="F28" s="85">
        <f ca="1">+'Salaries (% Plan Expenditure)'!F28+'IP as % of TRR'!F28+'Worksheet Pension &amp; RE'!F28</f>
        <v>21435.739999999998</v>
      </c>
      <c r="G28" s="85">
        <f ca="1">+'Salaries (% Plan Expenditure)'!G28+'IP as % of TRR'!G28+'Worksheet Pension &amp; RE'!G28</f>
        <v>26473.62</v>
      </c>
      <c r="H28" s="103">
        <v>6.8737000000000004</v>
      </c>
      <c r="I28" s="103">
        <v>6.9897</v>
      </c>
      <c r="J28" s="103">
        <v>7.1050000000000004</v>
      </c>
      <c r="K28" s="103">
        <v>7.22</v>
      </c>
      <c r="L28" s="103">
        <v>7.3343999999999996</v>
      </c>
      <c r="M28" s="494">
        <f t="shared" si="6"/>
        <v>1845.9766937748232</v>
      </c>
      <c r="N28" s="494">
        <f t="shared" si="7"/>
        <v>2103.3706739917307</v>
      </c>
      <c r="O28" s="494">
        <f t="shared" si="8"/>
        <v>2491.6776917663615</v>
      </c>
      <c r="P28" s="494">
        <f t="shared" si="9"/>
        <v>2968.9390581717448</v>
      </c>
      <c r="Q28" s="494">
        <f t="shared" si="10"/>
        <v>3609.5140706806283</v>
      </c>
    </row>
    <row r="29" spans="1:17" ht="23.25" customHeight="1">
      <c r="A29" s="37">
        <v>22</v>
      </c>
      <c r="B29" s="34" t="s">
        <v>37</v>
      </c>
      <c r="C29" s="85">
        <f ca="1">+'Salaries (% Plan Expenditure)'!C29+'IP as % of TRR'!C29+'Worksheet Pension &amp; RE'!C29</f>
        <v>39765.47</v>
      </c>
      <c r="D29" s="85">
        <f ca="1">+'Salaries (% Plan Expenditure)'!D29+'IP as % of TRR'!D29+'Worksheet Pension &amp; RE'!D29</f>
        <v>43108.31</v>
      </c>
      <c r="E29" s="85">
        <f ca="1">+'Salaries (% Plan Expenditure)'!E29+'IP as % of TRR'!E29+'Worksheet Pension &amp; RE'!E29</f>
        <v>56524.530000000006</v>
      </c>
      <c r="F29" s="85">
        <f ca="1">+'Salaries (% Plan Expenditure)'!F29+'IP as % of TRR'!F29+'Worksheet Pension &amp; RE'!F29</f>
        <v>67587.92</v>
      </c>
      <c r="G29" s="85">
        <f ca="1">+'Salaries (% Plan Expenditure)'!G29+'IP as % of TRR'!G29+'Worksheet Pension &amp; RE'!G29</f>
        <v>78675.13</v>
      </c>
      <c r="H29" s="103">
        <v>10.7972</v>
      </c>
      <c r="I29" s="103">
        <v>10.955299999999999</v>
      </c>
      <c r="J29" s="103">
        <v>11.111800000000001</v>
      </c>
      <c r="K29" s="103">
        <v>11.266</v>
      </c>
      <c r="L29" s="103">
        <v>11.4184</v>
      </c>
      <c r="M29" s="494">
        <f t="shared" si="6"/>
        <v>3682.9427999851814</v>
      </c>
      <c r="N29" s="494">
        <f t="shared" si="7"/>
        <v>3934.9273867443158</v>
      </c>
      <c r="O29" s="494">
        <f t="shared" si="8"/>
        <v>5086.892312676614</v>
      </c>
      <c r="P29" s="494">
        <f t="shared" si="9"/>
        <v>5999.2827977986863</v>
      </c>
      <c r="Q29" s="494">
        <f t="shared" si="10"/>
        <v>6890.2061584810481</v>
      </c>
    </row>
    <row r="30" spans="1:17" ht="23.25" customHeight="1">
      <c r="A30" s="37">
        <v>23</v>
      </c>
      <c r="B30" s="34" t="s">
        <v>104</v>
      </c>
      <c r="C30" s="85">
        <f ca="1">+'Salaries (% Plan Expenditure)'!C30+'IP as % of TRR'!C30+'Worksheet Pension &amp; RE'!C30</f>
        <v>9716.2800000000007</v>
      </c>
      <c r="D30" s="85">
        <f ca="1">+'Salaries (% Plan Expenditure)'!D30+'IP as % of TRR'!D30+'Worksheet Pension &amp; RE'!D30</f>
        <v>11998.43</v>
      </c>
      <c r="E30" s="85">
        <f ca="1">+'Salaries (% Plan Expenditure)'!E30+'IP as % of TRR'!E30+'Worksheet Pension &amp; RE'!E30</f>
        <v>14793.46</v>
      </c>
      <c r="F30" s="85">
        <f ca="1">+'Salaries (% Plan Expenditure)'!F30+'IP as % of TRR'!F30+'Worksheet Pension &amp; RE'!F30</f>
        <v>16830.080000000002</v>
      </c>
      <c r="G30" s="85">
        <f ca="1">+'Salaries (% Plan Expenditure)'!G30+'IP as % of TRR'!G30+'Worksheet Pension &amp; RE'!G30</f>
        <v>19135.05</v>
      </c>
      <c r="H30" s="103">
        <v>3.9655</v>
      </c>
      <c r="I30" s="103">
        <v>4.0025000000000004</v>
      </c>
      <c r="J30" s="103">
        <v>4.0388999999999999</v>
      </c>
      <c r="K30" s="103">
        <v>4.0750000000000002</v>
      </c>
      <c r="L30" s="103">
        <v>4.1105</v>
      </c>
      <c r="M30" s="494">
        <f t="shared" si="6"/>
        <v>2450.2030008826127</v>
      </c>
      <c r="N30" s="494">
        <f t="shared" si="7"/>
        <v>2997.7339163023107</v>
      </c>
      <c r="O30" s="494">
        <f t="shared" si="8"/>
        <v>3662.7448067543141</v>
      </c>
      <c r="P30" s="494">
        <f t="shared" si="9"/>
        <v>4130.0809815950925</v>
      </c>
      <c r="Q30" s="494">
        <f t="shared" si="10"/>
        <v>4655.1636054008022</v>
      </c>
    </row>
    <row r="31" spans="1:17" ht="23.25" customHeight="1">
      <c r="A31" s="37">
        <v>24</v>
      </c>
      <c r="B31" s="34" t="s">
        <v>39</v>
      </c>
      <c r="C31" s="85">
        <f ca="1">+'Salaries (% Plan Expenditure)'!C31+'IP as % of TRR'!C31+'Worksheet Pension &amp; RE'!C31</f>
        <v>13217.5</v>
      </c>
      <c r="D31" s="85">
        <f ca="1">+'Salaries (% Plan Expenditure)'!D31+'IP as % of TRR'!D31+'Worksheet Pension &amp; RE'!D31</f>
        <v>14442.539999999999</v>
      </c>
      <c r="E31" s="85">
        <f ca="1">+'Salaries (% Plan Expenditure)'!E31+'IP as % of TRR'!E31+'Worksheet Pension &amp; RE'!E31</f>
        <v>16463.84</v>
      </c>
      <c r="F31" s="85">
        <f ca="1">+'Salaries (% Plan Expenditure)'!F31+'IP as % of TRR'!F31+'Worksheet Pension &amp; RE'!F31</f>
        <v>20413.71</v>
      </c>
      <c r="G31" s="85">
        <f ca="1">+'Salaries (% Plan Expenditure)'!G31+'IP as % of TRR'!G31+'Worksheet Pension &amp; RE'!G31</f>
        <v>23768.959999999999</v>
      </c>
      <c r="H31" s="103">
        <v>2.6722000000000001</v>
      </c>
      <c r="I31" s="103">
        <v>2.7048000000000001</v>
      </c>
      <c r="J31" s="103">
        <v>2.7368000000000001</v>
      </c>
      <c r="K31" s="103">
        <v>2.7677999999999998</v>
      </c>
      <c r="L31" s="103">
        <v>2.7980999999999998</v>
      </c>
      <c r="M31" s="494">
        <f t="shared" si="6"/>
        <v>4946.2989297208287</v>
      </c>
      <c r="N31" s="494">
        <f t="shared" si="7"/>
        <v>5339.5962732919252</v>
      </c>
      <c r="O31" s="494">
        <f t="shared" si="8"/>
        <v>6015.7263957907044</v>
      </c>
      <c r="P31" s="494">
        <f t="shared" si="9"/>
        <v>7375.428137871234</v>
      </c>
      <c r="Q31" s="494">
        <f t="shared" si="10"/>
        <v>8494.6785318609054</v>
      </c>
    </row>
    <row r="32" spans="1:17" ht="23.25" customHeight="1">
      <c r="A32" s="37">
        <v>25</v>
      </c>
      <c r="B32" s="34" t="s">
        <v>40</v>
      </c>
      <c r="C32" s="85">
        <f ca="1">+'Salaries (% Plan Expenditure)'!C32+'IP as % of TRR'!C32+'Worksheet Pension &amp; RE'!C32</f>
        <v>16199.04</v>
      </c>
      <c r="D32" s="85">
        <f ca="1">+'Salaries (% Plan Expenditure)'!D32+'IP as % of TRR'!D32+'Worksheet Pension &amp; RE'!D32</f>
        <v>20815.849999999999</v>
      </c>
      <c r="E32" s="85">
        <f ca="1">+'Salaries (% Plan Expenditure)'!E32+'IP as % of TRR'!E32+'Worksheet Pension &amp; RE'!E32</f>
        <v>25458.1</v>
      </c>
      <c r="F32" s="85">
        <f ca="1">+'Salaries (% Plan Expenditure)'!F32+'IP as % of TRR'!F32+'Worksheet Pension &amp; RE'!F32</f>
        <v>25870.870000000003</v>
      </c>
      <c r="G32" s="85">
        <f ca="1">+'Salaries (% Plan Expenditure)'!G32+'IP as % of TRR'!G32+'Worksheet Pension &amp; RE'!G32</f>
        <v>29640.93</v>
      </c>
      <c r="H32" s="103">
        <v>6.4534000000000002</v>
      </c>
      <c r="I32" s="103">
        <v>6.5650000000000004</v>
      </c>
      <c r="J32" s="103">
        <v>6.6749999999999998</v>
      </c>
      <c r="K32" s="103">
        <v>6.7830000000000004</v>
      </c>
      <c r="L32" s="103">
        <v>6.8891999999999998</v>
      </c>
      <c r="M32" s="494">
        <f t="shared" si="6"/>
        <v>2510.1558868193511</v>
      </c>
      <c r="N32" s="494">
        <f t="shared" si="7"/>
        <v>3170.7311500380802</v>
      </c>
      <c r="O32" s="494">
        <f t="shared" si="8"/>
        <v>3813.9475655430711</v>
      </c>
      <c r="P32" s="494">
        <f t="shared" si="9"/>
        <v>3814.0748931151411</v>
      </c>
      <c r="Q32" s="494">
        <f t="shared" si="10"/>
        <v>4302.5213377460377</v>
      </c>
    </row>
    <row r="33" spans="1:17" ht="23.25" customHeight="1">
      <c r="A33" s="37">
        <v>26</v>
      </c>
      <c r="B33" s="34" t="s">
        <v>41</v>
      </c>
      <c r="C33" s="85">
        <f ca="1">+'Salaries (% Plan Expenditure)'!C33+'IP as % of TRR'!C33+'Worksheet Pension &amp; RE'!C33</f>
        <v>23108.720000000001</v>
      </c>
      <c r="D33" s="85">
        <f ca="1">+'Salaries (% Plan Expenditure)'!D33+'IP as % of TRR'!D33+'Worksheet Pension &amp; RE'!D33</f>
        <v>27963</v>
      </c>
      <c r="E33" s="85">
        <f ca="1">+'Salaries (% Plan Expenditure)'!E33+'IP as % of TRR'!E33+'Worksheet Pension &amp; RE'!E33</f>
        <v>32327.919999999998</v>
      </c>
      <c r="F33" s="85">
        <f ca="1">+'Salaries (% Plan Expenditure)'!F33+'IP as % of TRR'!F33+'Worksheet Pension &amp; RE'!F33</f>
        <v>41253.199999999997</v>
      </c>
      <c r="G33" s="85">
        <f ca="1">+'Salaries (% Plan Expenditure)'!G33+'IP as % of TRR'!G33+'Worksheet Pension &amp; RE'!G33</f>
        <v>45583.81</v>
      </c>
      <c r="H33" s="103">
        <v>6.6105999999999998</v>
      </c>
      <c r="I33" s="103">
        <v>6.6566000000000001</v>
      </c>
      <c r="J33" s="103">
        <v>6.7012</v>
      </c>
      <c r="K33" s="103">
        <v>6.7443999999999997</v>
      </c>
      <c r="L33" s="103">
        <v>6.7862</v>
      </c>
      <c r="M33" s="494">
        <f t="shared" si="6"/>
        <v>3495.7068949868394</v>
      </c>
      <c r="N33" s="494">
        <f t="shared" si="7"/>
        <v>4200.7931977285698</v>
      </c>
      <c r="O33" s="494">
        <f t="shared" si="8"/>
        <v>4824.1986509878825</v>
      </c>
      <c r="P33" s="494">
        <f t="shared" si="9"/>
        <v>6116.659747345946</v>
      </c>
      <c r="Q33" s="494">
        <f t="shared" si="10"/>
        <v>6717.1332999322149</v>
      </c>
    </row>
    <row r="34" spans="1:17" ht="23.25" customHeight="1">
      <c r="A34" s="37">
        <v>27</v>
      </c>
      <c r="B34" s="34" t="s">
        <v>42</v>
      </c>
      <c r="C34" s="85">
        <f ca="1">+'Salaries (% Plan Expenditure)'!C34+'IP as % of TRR'!C34+'Worksheet Pension &amp; RE'!C34</f>
        <v>36560.28</v>
      </c>
      <c r="D34" s="85">
        <f ca="1">+'Salaries (% Plan Expenditure)'!D34+'IP as % of TRR'!D34+'Worksheet Pension &amp; RE'!D34</f>
        <v>32458.159999999996</v>
      </c>
      <c r="E34" s="85">
        <f ca="1">+'Salaries (% Plan Expenditure)'!E34+'IP as % of TRR'!E34+'Worksheet Pension &amp; RE'!E34</f>
        <v>42773.899999999994</v>
      </c>
      <c r="F34" s="85">
        <f ca="1">+'Salaries (% Plan Expenditure)'!F34+'IP as % of TRR'!F34+'Worksheet Pension &amp; RE'!F34</f>
        <v>49492.59</v>
      </c>
      <c r="G34" s="85">
        <f ca="1">+'Salaries (% Plan Expenditure)'!G34+'IP as % of TRR'!G34+'Worksheet Pension &amp; RE'!G34</f>
        <v>53318.96</v>
      </c>
      <c r="H34" s="103">
        <v>19.025400000000001</v>
      </c>
      <c r="I34" s="103">
        <v>19.376300000000001</v>
      </c>
      <c r="J34" s="103">
        <v>19.7271</v>
      </c>
      <c r="K34" s="103">
        <v>20.0764</v>
      </c>
      <c r="L34" s="103">
        <v>20.425000000000001</v>
      </c>
      <c r="M34" s="494">
        <f t="shared" si="6"/>
        <v>1921.6563120880505</v>
      </c>
      <c r="N34" s="494">
        <f t="shared" si="7"/>
        <v>1675.1474739759394</v>
      </c>
      <c r="O34" s="494">
        <f t="shared" si="8"/>
        <v>2168.2811969321388</v>
      </c>
      <c r="P34" s="494">
        <f t="shared" si="9"/>
        <v>2465.2123886752602</v>
      </c>
      <c r="Q34" s="494">
        <f t="shared" si="10"/>
        <v>2610.4753977968176</v>
      </c>
    </row>
    <row r="35" spans="1:17" ht="23.25" customHeight="1">
      <c r="A35" s="37">
        <v>28</v>
      </c>
      <c r="B35" s="34" t="s">
        <v>43</v>
      </c>
      <c r="C35" s="85">
        <f ca="1">+'Salaries (% Plan Expenditure)'!C35+'IP as % of TRR'!C35+'Worksheet Pension &amp; RE'!C35</f>
        <v>27556.980000000003</v>
      </c>
      <c r="D35" s="85">
        <f ca="1">+'Salaries (% Plan Expenditure)'!D35+'IP as % of TRR'!D35+'Worksheet Pension &amp; RE'!D35</f>
        <v>30263.22</v>
      </c>
      <c r="E35" s="85">
        <f ca="1">+'Salaries (% Plan Expenditure)'!E35+'IP as % of TRR'!E35+'Worksheet Pension &amp; RE'!E35</f>
        <v>41696.44</v>
      </c>
      <c r="F35" s="85">
        <f ca="1">+'Salaries (% Plan Expenditure)'!F35+'IP as % of TRR'!F35+'Worksheet Pension &amp; RE'!F35</f>
        <v>46849.32</v>
      </c>
      <c r="G35" s="85">
        <f ca="1">+'Salaries (% Plan Expenditure)'!G35+'IP as % of TRR'!G35+'Worksheet Pension &amp; RE'!G35</f>
        <v>48856.19</v>
      </c>
      <c r="H35" s="103">
        <v>8.6995000000000005</v>
      </c>
      <c r="I35" s="103">
        <v>8.7838999999999992</v>
      </c>
      <c r="J35" s="103">
        <v>8.8668999999999993</v>
      </c>
      <c r="K35" s="103">
        <v>8.9498999999999995</v>
      </c>
      <c r="L35" s="103">
        <v>9.032</v>
      </c>
      <c r="M35" s="494">
        <f t="shared" si="6"/>
        <v>3167.6510144261165</v>
      </c>
      <c r="N35" s="494">
        <f t="shared" si="7"/>
        <v>3445.3056159564662</v>
      </c>
      <c r="O35" s="494">
        <f t="shared" si="8"/>
        <v>4702.4822655042917</v>
      </c>
      <c r="P35" s="494">
        <f t="shared" si="9"/>
        <v>5234.6193812221372</v>
      </c>
      <c r="Q35" s="494">
        <f t="shared" si="10"/>
        <v>5409.2327280779455</v>
      </c>
    </row>
    <row r="36" spans="1:17" s="44" customFormat="1" ht="23.25" customHeight="1">
      <c r="A36" s="106"/>
      <c r="B36" s="35" t="s">
        <v>44</v>
      </c>
      <c r="C36" s="86">
        <f t="shared" ref="C36:L36" si="11">SUM(C19:C35)</f>
        <v>285715.7</v>
      </c>
      <c r="D36" s="86">
        <f t="shared" si="11"/>
        <v>315183.82999999996</v>
      </c>
      <c r="E36" s="78">
        <f t="shared" si="11"/>
        <v>386009.22000000003</v>
      </c>
      <c r="F36" s="78">
        <f t="shared" si="11"/>
        <v>463082.81</v>
      </c>
      <c r="G36" s="78">
        <f t="shared" si="11"/>
        <v>528683.22</v>
      </c>
      <c r="H36" s="102">
        <f t="shared" si="11"/>
        <v>105.41780000000001</v>
      </c>
      <c r="I36" s="102">
        <f t="shared" si="11"/>
        <v>106.8686</v>
      </c>
      <c r="J36" s="102">
        <f t="shared" si="11"/>
        <v>108.3036</v>
      </c>
      <c r="K36" s="102">
        <f t="shared" si="11"/>
        <v>109.72179999999999</v>
      </c>
      <c r="L36" s="102">
        <f t="shared" si="11"/>
        <v>111.12369999999999</v>
      </c>
      <c r="M36" s="495">
        <f t="shared" si="6"/>
        <v>2710.317422674349</v>
      </c>
      <c r="N36" s="495">
        <f t="shared" si="7"/>
        <v>2949.2650787977009</v>
      </c>
      <c r="O36" s="495">
        <f t="shared" si="8"/>
        <v>3564.1402501855896</v>
      </c>
      <c r="P36" s="495">
        <f t="shared" si="9"/>
        <v>4220.5178004735617</v>
      </c>
      <c r="Q36" s="495">
        <f t="shared" si="10"/>
        <v>4757.6099427934823</v>
      </c>
    </row>
    <row r="37" spans="1:17" ht="23.25" customHeight="1">
      <c r="A37" s="37"/>
      <c r="B37" s="35" t="s">
        <v>45</v>
      </c>
      <c r="C37" s="85"/>
      <c r="D37" s="85"/>
      <c r="E37" s="18"/>
      <c r="F37" s="18"/>
      <c r="G37" s="18"/>
      <c r="H37" s="103"/>
      <c r="I37" s="103"/>
      <c r="J37" s="103"/>
      <c r="K37" s="103"/>
      <c r="L37" s="103"/>
      <c r="M37" s="494"/>
      <c r="N37" s="494"/>
      <c r="O37" s="494"/>
      <c r="P37" s="494"/>
      <c r="Q37" s="494"/>
    </row>
    <row r="38" spans="1:17" ht="23.25" customHeight="1">
      <c r="A38" s="37">
        <v>29</v>
      </c>
      <c r="B38" s="34" t="s">
        <v>46</v>
      </c>
      <c r="C38" s="85">
        <f ca="1">+'Salaries (% Plan Expenditure)'!C38+'IP as % of TRR'!C38+'Worksheet Pension &amp; RE'!C38</f>
        <v>4217.96</v>
      </c>
      <c r="D38" s="85">
        <f ca="1">+'Salaries (% Plan Expenditure)'!D38+'IP as % of TRR'!D38+'Worksheet Pension &amp; RE'!D38</f>
        <v>5417.0499999999993</v>
      </c>
      <c r="E38" s="85">
        <f ca="1">+'Salaries (% Plan Expenditure)'!E38+'IP as % of TRR'!E38+'Worksheet Pension &amp; RE'!E38</f>
        <v>6309.25</v>
      </c>
      <c r="F38" s="85">
        <f ca="1">+'Salaries (% Plan Expenditure)'!F38+'IP as % of TRR'!F38+'Worksheet Pension &amp; RE'!F38</f>
        <v>6011.38</v>
      </c>
      <c r="G38" s="85">
        <f ca="1">+'Salaries (% Plan Expenditure)'!G38+'IP as % of TRR'!G38+'Worksheet Pension &amp; RE'!G38</f>
        <v>6994.34</v>
      </c>
      <c r="H38" s="103">
        <v>1.6955</v>
      </c>
      <c r="I38" s="103">
        <v>1.7437</v>
      </c>
      <c r="J38" s="103">
        <v>1.7935000000000001</v>
      </c>
      <c r="K38" s="103">
        <v>1.8451</v>
      </c>
      <c r="L38" s="103">
        <v>1.8983000000000001</v>
      </c>
      <c r="M38" s="494">
        <f t="shared" ref="M38:Q40" si="12">+C38/H38</f>
        <v>2487.7381303450311</v>
      </c>
      <c r="N38" s="494">
        <f t="shared" si="12"/>
        <v>3106.6410506394445</v>
      </c>
      <c r="O38" s="494">
        <f t="shared" si="12"/>
        <v>3517.8422079732363</v>
      </c>
      <c r="P38" s="494">
        <f t="shared" si="12"/>
        <v>3258.0239553411739</v>
      </c>
      <c r="Q38" s="494">
        <f t="shared" si="12"/>
        <v>3684.5282621292736</v>
      </c>
    </row>
    <row r="39" spans="1:17" ht="23.25" customHeight="1">
      <c r="A39" s="37">
        <v>30</v>
      </c>
      <c r="B39" s="34" t="s">
        <v>47</v>
      </c>
      <c r="C39" s="85">
        <f ca="1">+'Salaries (% Plan Expenditure)'!C39+'IP as % of TRR'!C39+'Worksheet Pension &amp; RE'!C39</f>
        <v>783</v>
      </c>
      <c r="D39" s="85">
        <f ca="1">+'Salaries (% Plan Expenditure)'!D39+'IP as % of TRR'!D39+'Worksheet Pension &amp; RE'!D39</f>
        <v>1114</v>
      </c>
      <c r="E39" s="85">
        <f ca="1">+'Salaries (% Plan Expenditure)'!E39+'IP as % of TRR'!E39+'Worksheet Pension &amp; RE'!E39</f>
        <v>1445</v>
      </c>
      <c r="F39" s="85">
        <f ca="1">+'Salaries (% Plan Expenditure)'!F39+'IP as % of TRR'!F39+'Worksheet Pension &amp; RE'!F39</f>
        <v>1605</v>
      </c>
      <c r="G39" s="85">
        <f ca="1">+'Salaries (% Plan Expenditure)'!G39+'IP as % of TRR'!G39+'Worksheet Pension &amp; RE'!G39</f>
        <v>1683</v>
      </c>
      <c r="H39" s="103">
        <v>0.12039999999999999</v>
      </c>
      <c r="I39" s="103">
        <v>0.12670000000000001</v>
      </c>
      <c r="J39" s="103">
        <v>0.1331</v>
      </c>
      <c r="K39" s="103">
        <v>0.1391</v>
      </c>
      <c r="L39" s="103">
        <v>0.14510000000000001</v>
      </c>
      <c r="M39" s="494">
        <f t="shared" si="12"/>
        <v>6503.3222591362128</v>
      </c>
      <c r="N39" s="494">
        <f t="shared" si="12"/>
        <v>8792.4230465666933</v>
      </c>
      <c r="O39" s="494">
        <f t="shared" si="12"/>
        <v>10856.498873027798</v>
      </c>
      <c r="P39" s="494">
        <f t="shared" si="12"/>
        <v>11538.461538461539</v>
      </c>
      <c r="Q39" s="494">
        <f t="shared" si="12"/>
        <v>11598.897312198484</v>
      </c>
    </row>
    <row r="40" spans="1:17" s="44" customFormat="1" ht="23.25" customHeight="1">
      <c r="A40" s="106"/>
      <c r="B40" s="35" t="s">
        <v>113</v>
      </c>
      <c r="C40" s="86">
        <f>SUM(C38:C39)</f>
        <v>5000.96</v>
      </c>
      <c r="D40" s="86">
        <f>SUM(D38:D39)</f>
        <v>6531.0499999999993</v>
      </c>
      <c r="E40" s="78">
        <f>SUM(E38:E39)</f>
        <v>7754.25</v>
      </c>
      <c r="F40" s="78">
        <f>SUM(F38:F39)</f>
        <v>7616.38</v>
      </c>
      <c r="G40" s="78">
        <f>SUM(G38:G39)</f>
        <v>8677.34</v>
      </c>
      <c r="H40" s="102">
        <f>+H38+H39</f>
        <v>1.8159000000000001</v>
      </c>
      <c r="I40" s="102">
        <f>+I38+I39</f>
        <v>1.8704000000000001</v>
      </c>
      <c r="J40" s="102">
        <f>+J38+J39</f>
        <v>1.9266000000000001</v>
      </c>
      <c r="K40" s="102">
        <f>+K38+K39</f>
        <v>1.9842</v>
      </c>
      <c r="L40" s="102">
        <f>+L38+L39</f>
        <v>2.0434000000000001</v>
      </c>
      <c r="M40" s="495">
        <f t="shared" si="12"/>
        <v>2753.9842502340434</v>
      </c>
      <c r="N40" s="495">
        <f t="shared" si="12"/>
        <v>3491.793199315654</v>
      </c>
      <c r="O40" s="495">
        <f t="shared" si="12"/>
        <v>4024.8364995328557</v>
      </c>
      <c r="P40" s="495">
        <f t="shared" si="12"/>
        <v>3838.5142626751335</v>
      </c>
      <c r="Q40" s="495">
        <f t="shared" si="12"/>
        <v>4246.5205050406184</v>
      </c>
    </row>
    <row r="41" spans="1:17" s="44" customFormat="1">
      <c r="A41" s="106"/>
      <c r="B41" s="35"/>
      <c r="C41" s="85"/>
      <c r="D41" s="85"/>
      <c r="E41" s="18"/>
      <c r="F41" s="18"/>
      <c r="G41" s="18"/>
      <c r="H41" s="102"/>
      <c r="I41" s="102"/>
      <c r="J41" s="102"/>
      <c r="K41" s="102"/>
      <c r="L41" s="102"/>
      <c r="M41" s="494"/>
      <c r="N41" s="494"/>
      <c r="O41" s="494"/>
      <c r="P41" s="494"/>
      <c r="Q41" s="494"/>
    </row>
    <row r="42" spans="1:17" s="44" customFormat="1">
      <c r="A42" s="106"/>
      <c r="B42" s="35" t="s">
        <v>49</v>
      </c>
      <c r="C42" s="86">
        <f t="shared" ref="C42:L42" si="13">+C17+C36+C40</f>
        <v>325796.67000000004</v>
      </c>
      <c r="D42" s="86">
        <f t="shared" si="13"/>
        <v>359837.50999999995</v>
      </c>
      <c r="E42" s="78">
        <f>+E17+E36+E40</f>
        <v>441571.67000000004</v>
      </c>
      <c r="F42" s="78">
        <f t="shared" si="13"/>
        <v>527964.40999999992</v>
      </c>
      <c r="G42" s="78">
        <f t="shared" si="13"/>
        <v>602496.24999999988</v>
      </c>
      <c r="H42" s="102">
        <f t="shared" si="13"/>
        <v>114.24500000000002</v>
      </c>
      <c r="I42" s="102">
        <f t="shared" si="13"/>
        <v>115.8409</v>
      </c>
      <c r="J42" s="102">
        <f t="shared" si="13"/>
        <v>117.42229999999999</v>
      </c>
      <c r="K42" s="102">
        <f t="shared" si="13"/>
        <v>118.98739999999999</v>
      </c>
      <c r="L42" s="102">
        <f t="shared" si="13"/>
        <v>120.53729999999999</v>
      </c>
      <c r="M42" s="495">
        <f>+C42/H42</f>
        <v>2851.7367937327672</v>
      </c>
      <c r="N42" s="495">
        <f>+D42/I42</f>
        <v>3106.3079620410404</v>
      </c>
      <c r="O42" s="495">
        <f>+E42/J42</f>
        <v>3760.5435253780593</v>
      </c>
      <c r="P42" s="495">
        <f>+F42/K42</f>
        <v>4437.1455296947406</v>
      </c>
      <c r="Q42" s="495">
        <f>+G42/L42</f>
        <v>4998.421650393695</v>
      </c>
    </row>
    <row r="43" spans="1:17">
      <c r="B43" s="29" t="s">
        <v>50</v>
      </c>
    </row>
  </sheetData>
  <mergeCells count="7">
    <mergeCell ref="A1:Q1"/>
    <mergeCell ref="H4:L4"/>
    <mergeCell ref="H2:L2"/>
    <mergeCell ref="M2:Q2"/>
    <mergeCell ref="B2:B3"/>
    <mergeCell ref="A2:A3"/>
    <mergeCell ref="C2:G2"/>
  </mergeCells>
  <phoneticPr fontId="63" type="noConversion"/>
  <printOptions horizontalCentered="1"/>
  <pageMargins left="0.15748031496062992" right="0.15748031496062992" top="0.78740157480314965" bottom="0.39370078740157483" header="0" footer="0"/>
  <pageSetup paperSize="9" scale="53" orientation="landscape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P27" sqref="P27"/>
    </sheetView>
  </sheetViews>
  <sheetFormatPr defaultRowHeight="12.75"/>
  <cols>
    <col min="1" max="1" width="5.42578125" style="109" customWidth="1"/>
    <col min="2" max="2" width="36.140625" style="109" customWidth="1"/>
    <col min="3" max="3" width="12.28515625" style="109" customWidth="1"/>
    <col min="4" max="6" width="11.140625" style="109" customWidth="1"/>
    <col min="7" max="7" width="11" style="109" customWidth="1"/>
    <col min="8" max="9" width="10.42578125" style="109" hidden="1" customWidth="1"/>
    <col min="10" max="10" width="10.85546875" style="109" hidden="1" customWidth="1"/>
    <col min="11" max="12" width="11.42578125" style="109" customWidth="1"/>
    <col min="13" max="13" width="11.28515625" style="109" bestFit="1" customWidth="1"/>
    <col min="14" max="15" width="12.42578125" style="109" customWidth="1"/>
    <col min="16" max="16384" width="9.140625" style="109"/>
  </cols>
  <sheetData>
    <row r="1" spans="1:15" ht="27.75" customHeight="1">
      <c r="A1" s="670" t="s">
        <v>322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</row>
    <row r="2" spans="1:15" ht="21.75" customHeight="1">
      <c r="A2" s="672" t="s">
        <v>51</v>
      </c>
      <c r="B2" s="671" t="s">
        <v>1</v>
      </c>
      <c r="C2" s="669" t="s">
        <v>202</v>
      </c>
      <c r="D2" s="669"/>
      <c r="E2" s="669"/>
      <c r="F2" s="669"/>
      <c r="G2" s="669"/>
      <c r="H2" s="473"/>
      <c r="I2" s="473"/>
      <c r="J2" s="488"/>
      <c r="K2" s="669" t="s">
        <v>203</v>
      </c>
      <c r="L2" s="669"/>
      <c r="M2" s="669"/>
      <c r="N2" s="669"/>
      <c r="O2" s="669"/>
    </row>
    <row r="3" spans="1:15" ht="34.5" customHeight="1">
      <c r="A3" s="672"/>
      <c r="B3" s="671"/>
      <c r="C3" s="110" t="s">
        <v>75</v>
      </c>
      <c r="D3" s="110" t="s">
        <v>76</v>
      </c>
      <c r="E3" s="110" t="s">
        <v>77</v>
      </c>
      <c r="F3" s="110" t="s">
        <v>94</v>
      </c>
      <c r="G3" s="110" t="s">
        <v>79</v>
      </c>
      <c r="H3" s="110" t="s">
        <v>124</v>
      </c>
      <c r="I3" s="110" t="s">
        <v>125</v>
      </c>
      <c r="J3" s="489"/>
      <c r="K3" s="110" t="s">
        <v>75</v>
      </c>
      <c r="L3" s="110" t="s">
        <v>76</v>
      </c>
      <c r="M3" s="110" t="s">
        <v>77</v>
      </c>
      <c r="N3" s="110" t="s">
        <v>94</v>
      </c>
      <c r="O3" s="110" t="s">
        <v>79</v>
      </c>
    </row>
    <row r="4" spans="1:15" ht="17.25" customHeight="1">
      <c r="A4" s="474"/>
      <c r="B4" s="479">
        <v>41129</v>
      </c>
      <c r="C4" s="475"/>
      <c r="D4" s="476"/>
      <c r="E4" s="476"/>
      <c r="F4" s="476"/>
      <c r="G4" s="477"/>
      <c r="H4" s="478"/>
      <c r="I4" s="478"/>
      <c r="K4" s="112"/>
      <c r="L4" s="112"/>
      <c r="M4" s="112"/>
      <c r="N4" s="112"/>
      <c r="O4" s="112"/>
    </row>
    <row r="5" spans="1:15">
      <c r="A5" s="112"/>
      <c r="B5" s="113" t="s">
        <v>13</v>
      </c>
      <c r="C5" s="114"/>
      <c r="D5" s="114"/>
      <c r="E5" s="114"/>
      <c r="F5" s="114"/>
      <c r="G5" s="114"/>
      <c r="H5" s="114"/>
      <c r="I5" s="114"/>
      <c r="K5" s="112"/>
      <c r="L5" s="112"/>
      <c r="M5" s="112"/>
      <c r="N5" s="112"/>
      <c r="O5" s="112"/>
    </row>
    <row r="6" spans="1:15" s="483" customFormat="1">
      <c r="A6" s="480">
        <v>1</v>
      </c>
      <c r="B6" s="481" t="s">
        <v>59</v>
      </c>
      <c r="C6" s="482">
        <v>80.430000000000007</v>
      </c>
      <c r="D6" s="482">
        <v>130.75</v>
      </c>
      <c r="E6" s="482">
        <v>182.93</v>
      </c>
      <c r="F6" s="482">
        <v>200</v>
      </c>
      <c r="G6" s="482">
        <v>237.3</v>
      </c>
      <c r="H6" s="484"/>
      <c r="I6" s="484"/>
      <c r="K6" s="481">
        <v>2259.54</v>
      </c>
      <c r="L6" s="481">
        <v>2939.3</v>
      </c>
      <c r="M6" s="485">
        <v>3695.59</v>
      </c>
      <c r="N6" s="485">
        <v>3673.31</v>
      </c>
      <c r="O6" s="485">
        <v>4151.0600000000004</v>
      </c>
    </row>
    <row r="7" spans="1:15" s="483" customFormat="1">
      <c r="A7" s="480">
        <v>2</v>
      </c>
      <c r="B7" s="481" t="s">
        <v>15</v>
      </c>
      <c r="C7" s="482">
        <v>1340.67</v>
      </c>
      <c r="D7" s="482">
        <v>1435.81</v>
      </c>
      <c r="E7" s="482">
        <v>1769.28</v>
      </c>
      <c r="F7" s="482">
        <v>2384.5300000000002</v>
      </c>
      <c r="G7" s="482">
        <v>2140.83</v>
      </c>
      <c r="H7" s="486"/>
      <c r="I7" s="484"/>
      <c r="J7" s="483">
        <v>2337.4299999999998</v>
      </c>
      <c r="K7" s="481">
        <v>12744.16</v>
      </c>
      <c r="L7" s="481">
        <v>14261.07</v>
      </c>
      <c r="M7" s="485">
        <v>17837.14</v>
      </c>
      <c r="N7" s="485">
        <v>26062.799999999999</v>
      </c>
      <c r="O7" s="485">
        <v>26772.51</v>
      </c>
    </row>
    <row r="8" spans="1:15" s="483" customFormat="1">
      <c r="A8" s="480">
        <v>3</v>
      </c>
      <c r="B8" s="481" t="s">
        <v>16</v>
      </c>
      <c r="C8" s="482">
        <v>958.53</v>
      </c>
      <c r="D8" s="482">
        <v>1153.92</v>
      </c>
      <c r="E8" s="482">
        <v>1348.46</v>
      </c>
      <c r="F8" s="482">
        <v>2105.39</v>
      </c>
      <c r="G8" s="482">
        <v>2210</v>
      </c>
      <c r="H8" s="484"/>
      <c r="I8" s="484"/>
      <c r="K8" s="481">
        <v>8291.76</v>
      </c>
      <c r="L8" s="481">
        <v>9438.15</v>
      </c>
      <c r="M8" s="485">
        <v>11151.51</v>
      </c>
      <c r="N8" s="485">
        <v>13246.09</v>
      </c>
      <c r="O8" s="485">
        <v>14042.46</v>
      </c>
    </row>
    <row r="9" spans="1:15" s="483" customFormat="1">
      <c r="A9" s="480">
        <v>4</v>
      </c>
      <c r="B9" s="481" t="s">
        <v>60</v>
      </c>
      <c r="C9" s="482">
        <v>1192.96</v>
      </c>
      <c r="D9" s="482">
        <v>1269.4000000000001</v>
      </c>
      <c r="E9" s="482">
        <v>1567.6</v>
      </c>
      <c r="F9" s="482">
        <v>2242.9299999999998</v>
      </c>
      <c r="G9" s="482">
        <v>2651</v>
      </c>
      <c r="H9" s="484"/>
      <c r="I9" s="484"/>
      <c r="K9" s="481">
        <v>12189.29</v>
      </c>
      <c r="L9" s="481">
        <v>12047.45</v>
      </c>
      <c r="M9" s="485">
        <v>15323.89</v>
      </c>
      <c r="N9" s="485">
        <v>18466.8</v>
      </c>
      <c r="O9" s="485">
        <v>22751.34</v>
      </c>
    </row>
    <row r="10" spans="1:15" s="483" customFormat="1">
      <c r="A10" s="480">
        <v>5</v>
      </c>
      <c r="B10" s="481" t="s">
        <v>18</v>
      </c>
      <c r="C10" s="482">
        <v>205.75</v>
      </c>
      <c r="D10" s="482">
        <v>267.06</v>
      </c>
      <c r="E10" s="482">
        <v>292.79000000000002</v>
      </c>
      <c r="F10" s="482">
        <v>400.17</v>
      </c>
      <c r="G10" s="482">
        <v>389.55</v>
      </c>
      <c r="H10" s="484"/>
      <c r="I10" s="484"/>
      <c r="K10" s="481">
        <v>2292.52</v>
      </c>
      <c r="L10" s="481">
        <v>2622.29</v>
      </c>
      <c r="M10" s="485">
        <v>3014.4</v>
      </c>
      <c r="N10" s="485">
        <v>4078.01</v>
      </c>
      <c r="O10" s="485">
        <v>4744.01</v>
      </c>
    </row>
    <row r="11" spans="1:15" s="483" customFormat="1">
      <c r="A11" s="480">
        <v>6</v>
      </c>
      <c r="B11" s="481" t="s">
        <v>19</v>
      </c>
      <c r="C11" s="482">
        <v>134.69999999999999</v>
      </c>
      <c r="D11" s="482">
        <v>171.76</v>
      </c>
      <c r="E11" s="482">
        <v>207.89</v>
      </c>
      <c r="F11" s="482">
        <v>299.62</v>
      </c>
      <c r="G11" s="482">
        <v>291.38</v>
      </c>
      <c r="H11" s="484"/>
      <c r="I11" s="484"/>
      <c r="K11" s="481">
        <v>2253.67</v>
      </c>
      <c r="L11" s="481">
        <v>2682.78</v>
      </c>
      <c r="M11" s="485">
        <v>3182.38</v>
      </c>
      <c r="N11" s="485">
        <v>4012.74</v>
      </c>
      <c r="O11" s="485">
        <v>4973.8100000000004</v>
      </c>
    </row>
    <row r="12" spans="1:15" s="483" customFormat="1">
      <c r="A12" s="480">
        <v>7</v>
      </c>
      <c r="B12" s="481" t="s">
        <v>20</v>
      </c>
      <c r="C12" s="482">
        <v>97.14</v>
      </c>
      <c r="D12" s="482">
        <v>126.05</v>
      </c>
      <c r="E12" s="482">
        <v>164.26</v>
      </c>
      <c r="F12" s="482">
        <v>249.99</v>
      </c>
      <c r="G12" s="482">
        <v>219.01</v>
      </c>
      <c r="H12" s="484"/>
      <c r="I12" s="484"/>
      <c r="K12" s="481">
        <v>1788.9</v>
      </c>
      <c r="L12" s="481">
        <v>2157.13</v>
      </c>
      <c r="M12" s="485">
        <v>2583.33</v>
      </c>
      <c r="N12" s="485">
        <v>3453.3</v>
      </c>
      <c r="O12" s="485">
        <v>3389.08</v>
      </c>
    </row>
    <row r="13" spans="1:15" s="483" customFormat="1">
      <c r="A13" s="480">
        <v>8</v>
      </c>
      <c r="B13" s="481" t="s">
        <v>21</v>
      </c>
      <c r="C13" s="482">
        <v>259.73</v>
      </c>
      <c r="D13" s="482">
        <v>228.96</v>
      </c>
      <c r="E13" s="482">
        <v>279.06</v>
      </c>
      <c r="F13" s="482">
        <v>400</v>
      </c>
      <c r="G13" s="482">
        <v>576.29</v>
      </c>
      <c r="H13" s="482"/>
      <c r="I13" s="482"/>
      <c r="K13" s="481">
        <v>2572.27</v>
      </c>
      <c r="L13" s="481">
        <v>2889.54</v>
      </c>
      <c r="M13" s="485">
        <v>3252.44</v>
      </c>
      <c r="N13" s="485">
        <v>4430.6899999999996</v>
      </c>
      <c r="O13" s="485">
        <v>4600.55</v>
      </c>
    </row>
    <row r="14" spans="1:15" s="483" customFormat="1">
      <c r="A14" s="480">
        <v>9</v>
      </c>
      <c r="B14" s="481" t="s">
        <v>22</v>
      </c>
      <c r="C14" s="482">
        <v>50.19</v>
      </c>
      <c r="D14" s="482">
        <v>59.45</v>
      </c>
      <c r="E14" s="482">
        <v>125.75</v>
      </c>
      <c r="F14" s="482">
        <v>160.13999999999999</v>
      </c>
      <c r="G14" s="482">
        <v>149.26</v>
      </c>
      <c r="H14" s="484"/>
      <c r="I14" s="484"/>
      <c r="K14" s="481">
        <v>1146.8699999999999</v>
      </c>
      <c r="L14" s="481">
        <v>1380.55</v>
      </c>
      <c r="M14" s="485">
        <v>1829.02</v>
      </c>
      <c r="N14" s="485">
        <v>2011.91</v>
      </c>
      <c r="O14" s="485">
        <v>2292.44</v>
      </c>
    </row>
    <row r="15" spans="1:15" s="483" customFormat="1">
      <c r="A15" s="480">
        <v>10</v>
      </c>
      <c r="B15" s="481" t="s">
        <v>23</v>
      </c>
      <c r="C15" s="482">
        <v>315.29000000000002</v>
      </c>
      <c r="D15" s="482">
        <v>356.43</v>
      </c>
      <c r="E15" s="482">
        <v>559.89</v>
      </c>
      <c r="F15" s="482">
        <v>654.77</v>
      </c>
      <c r="G15" s="482">
        <v>700.75</v>
      </c>
      <c r="H15" s="484"/>
      <c r="I15" s="484"/>
      <c r="K15" s="481">
        <v>2793.62</v>
      </c>
      <c r="L15" s="481">
        <v>3158.72</v>
      </c>
      <c r="M15" s="485">
        <v>4213.78</v>
      </c>
      <c r="N15" s="485">
        <v>4359.47</v>
      </c>
      <c r="O15" s="485">
        <v>4899.6400000000003</v>
      </c>
    </row>
    <row r="16" spans="1:15" s="483" customFormat="1">
      <c r="A16" s="480">
        <v>11</v>
      </c>
      <c r="B16" s="481" t="s">
        <v>24</v>
      </c>
      <c r="C16" s="482">
        <v>622.87</v>
      </c>
      <c r="D16" s="482">
        <v>828.25</v>
      </c>
      <c r="E16" s="482">
        <v>1304.6500000000001</v>
      </c>
      <c r="F16" s="482">
        <v>1141.71</v>
      </c>
      <c r="G16" s="482">
        <v>1414.95</v>
      </c>
      <c r="H16" s="484"/>
      <c r="I16" s="484"/>
      <c r="K16" s="481">
        <v>7254.56</v>
      </c>
      <c r="L16" s="481">
        <v>8395.36</v>
      </c>
      <c r="M16" s="485">
        <v>10657.48</v>
      </c>
      <c r="N16" s="485">
        <v>12306.03</v>
      </c>
      <c r="O16" s="485">
        <v>14325.69</v>
      </c>
    </row>
    <row r="17" spans="1:15" s="111" customFormat="1">
      <c r="A17" s="113"/>
      <c r="B17" s="113" t="s">
        <v>81</v>
      </c>
      <c r="C17" s="120">
        <f>SUM(C6:C16)</f>
        <v>5258.2599999999993</v>
      </c>
      <c r="D17" s="120">
        <f>SUM(D6:D16)</f>
        <v>6027.8400000000011</v>
      </c>
      <c r="E17" s="120">
        <f>SUM(E6:E16)</f>
        <v>7802.5600000000013</v>
      </c>
      <c r="F17" s="120">
        <f>SUM(F6:F16)</f>
        <v>10239.25</v>
      </c>
      <c r="G17" s="120">
        <f>SUM(G6:G16)</f>
        <v>10980.320000000002</v>
      </c>
      <c r="H17" s="120">
        <f t="shared" ref="H17:O17" si="0">SUM(H6:H16)</f>
        <v>0</v>
      </c>
      <c r="I17" s="120">
        <f t="shared" si="0"/>
        <v>0</v>
      </c>
      <c r="J17" s="490">
        <f t="shared" si="0"/>
        <v>2337.4299999999998</v>
      </c>
      <c r="K17" s="120">
        <f t="shared" si="0"/>
        <v>55587.159999999996</v>
      </c>
      <c r="L17" s="120">
        <f t="shared" si="0"/>
        <v>61972.340000000004</v>
      </c>
      <c r="M17" s="122">
        <f t="shared" si="0"/>
        <v>76740.959999999992</v>
      </c>
      <c r="N17" s="122">
        <f t="shared" si="0"/>
        <v>96101.150000000009</v>
      </c>
      <c r="O17" s="122">
        <f t="shared" si="0"/>
        <v>106942.59</v>
      </c>
    </row>
    <row r="18" spans="1:15" s="111" customFormat="1">
      <c r="A18" s="113"/>
      <c r="B18" s="113" t="s">
        <v>26</v>
      </c>
      <c r="C18" s="120"/>
      <c r="D18" s="120"/>
      <c r="E18" s="120"/>
      <c r="F18" s="120"/>
      <c r="G18" s="120"/>
      <c r="H18" s="121"/>
      <c r="I18" s="122"/>
      <c r="K18" s="113"/>
      <c r="L18" s="113"/>
      <c r="M18" s="113"/>
      <c r="N18" s="113"/>
      <c r="O18" s="113"/>
    </row>
    <row r="19" spans="1:15" s="483" customFormat="1">
      <c r="A19" s="480">
        <v>12</v>
      </c>
      <c r="B19" s="481" t="s">
        <v>27</v>
      </c>
      <c r="C19" s="482">
        <v>5092.13</v>
      </c>
      <c r="D19" s="482">
        <v>5518.46</v>
      </c>
      <c r="E19" s="482">
        <v>6339.02</v>
      </c>
      <c r="F19" s="482">
        <v>9609.42</v>
      </c>
      <c r="G19" s="482">
        <v>9692.7199999999993</v>
      </c>
      <c r="H19" s="482"/>
      <c r="I19" s="481"/>
      <c r="K19" s="481">
        <v>53983.56</v>
      </c>
      <c r="L19" s="481">
        <v>61854.22</v>
      </c>
      <c r="M19" s="481">
        <v>63447.93</v>
      </c>
      <c r="N19" s="481">
        <v>78534.25</v>
      </c>
      <c r="O19" s="481">
        <v>97169.63</v>
      </c>
    </row>
    <row r="20" spans="1:15" s="483" customFormat="1">
      <c r="A20" s="480">
        <v>13</v>
      </c>
      <c r="B20" s="481" t="s">
        <v>28</v>
      </c>
      <c r="C20" s="482">
        <v>2788.94</v>
      </c>
      <c r="D20" s="482">
        <v>3479.03</v>
      </c>
      <c r="E20" s="482">
        <v>4318.7</v>
      </c>
      <c r="F20" s="482">
        <v>6143.86</v>
      </c>
      <c r="G20" s="482">
        <v>7584.26</v>
      </c>
      <c r="H20" s="484"/>
      <c r="I20" s="484"/>
      <c r="K20" s="481">
        <v>23562.87</v>
      </c>
      <c r="L20" s="481">
        <v>28511.57</v>
      </c>
      <c r="M20" s="481">
        <v>32584.18</v>
      </c>
      <c r="N20" s="481">
        <v>38215.910000000003</v>
      </c>
      <c r="O20" s="481">
        <v>49933.56</v>
      </c>
    </row>
    <row r="21" spans="1:15" s="483" customFormat="1">
      <c r="A21" s="480">
        <v>14</v>
      </c>
      <c r="B21" s="481" t="s">
        <v>29</v>
      </c>
      <c r="C21" s="482">
        <v>684.51</v>
      </c>
      <c r="D21" s="482">
        <v>930.77</v>
      </c>
      <c r="E21" s="482">
        <v>1233.76</v>
      </c>
      <c r="F21" s="482">
        <v>1810.32</v>
      </c>
      <c r="G21" s="482">
        <v>1621.9</v>
      </c>
      <c r="H21" s="484"/>
      <c r="I21" s="484"/>
      <c r="K21" s="481">
        <v>10839.85</v>
      </c>
      <c r="L21" s="481">
        <v>13793.7</v>
      </c>
      <c r="M21" s="481">
        <v>17265.439999999999</v>
      </c>
      <c r="N21" s="481">
        <v>19355.75</v>
      </c>
      <c r="O21" s="481">
        <v>24461.77</v>
      </c>
    </row>
    <row r="22" spans="1:15" s="483" customFormat="1">
      <c r="A22" s="480">
        <v>15</v>
      </c>
      <c r="B22" s="481" t="s">
        <v>30</v>
      </c>
      <c r="C22" s="482">
        <v>144.38</v>
      </c>
      <c r="D22" s="482">
        <v>213.87</v>
      </c>
      <c r="E22" s="482">
        <v>347.55</v>
      </c>
      <c r="F22" s="482">
        <v>373.81</v>
      </c>
      <c r="G22" s="482">
        <v>411.19</v>
      </c>
      <c r="H22" s="484"/>
      <c r="I22" s="484"/>
      <c r="K22" s="481">
        <v>2137.69</v>
      </c>
      <c r="L22" s="481">
        <v>2619.14</v>
      </c>
      <c r="M22" s="481">
        <v>3428.5</v>
      </c>
      <c r="N22" s="481">
        <v>4243.8100000000004</v>
      </c>
      <c r="O22" s="481">
        <v>5135.8</v>
      </c>
    </row>
    <row r="23" spans="1:15" s="483" customFormat="1">
      <c r="A23" s="480">
        <v>16</v>
      </c>
      <c r="B23" s="481" t="s">
        <v>31</v>
      </c>
      <c r="C23" s="482">
        <v>2979.38</v>
      </c>
      <c r="D23" s="482">
        <v>2962.81</v>
      </c>
      <c r="E23" s="482">
        <v>4513</v>
      </c>
      <c r="F23" s="482">
        <v>5779.43</v>
      </c>
      <c r="G23" s="482">
        <v>5370.52</v>
      </c>
      <c r="H23" s="484"/>
      <c r="I23" s="484"/>
      <c r="K23" s="481">
        <v>32504.799999999999</v>
      </c>
      <c r="L23" s="481">
        <v>37457.839999999997</v>
      </c>
      <c r="M23" s="481">
        <v>47276.13</v>
      </c>
      <c r="N23" s="481">
        <v>54786.15</v>
      </c>
      <c r="O23" s="481">
        <v>58865.49</v>
      </c>
    </row>
    <row r="24" spans="1:15" s="483" customFormat="1">
      <c r="A24" s="480">
        <v>17</v>
      </c>
      <c r="B24" s="481" t="s">
        <v>32</v>
      </c>
      <c r="C24" s="482">
        <v>1298</v>
      </c>
      <c r="D24" s="482">
        <v>1614</v>
      </c>
      <c r="E24" s="482">
        <v>2390</v>
      </c>
      <c r="F24" s="482">
        <v>3094</v>
      </c>
      <c r="G24" s="482">
        <v>3250</v>
      </c>
      <c r="H24" s="484"/>
      <c r="I24" s="484"/>
      <c r="K24" s="481">
        <v>17527</v>
      </c>
      <c r="L24" s="481">
        <v>20535</v>
      </c>
      <c r="M24" s="481">
        <v>25257</v>
      </c>
      <c r="N24" s="481">
        <v>28310</v>
      </c>
      <c r="O24" s="481">
        <v>34679</v>
      </c>
    </row>
    <row r="25" spans="1:15" s="483" customFormat="1">
      <c r="A25" s="480">
        <v>18</v>
      </c>
      <c r="B25" s="481" t="s">
        <v>33</v>
      </c>
      <c r="C25" s="482">
        <v>818.32</v>
      </c>
      <c r="D25" s="482">
        <v>988.4</v>
      </c>
      <c r="E25" s="482">
        <v>1680.83</v>
      </c>
      <c r="F25" s="482">
        <v>2081.1</v>
      </c>
      <c r="G25" s="482">
        <v>1612.1</v>
      </c>
      <c r="H25" s="484"/>
      <c r="I25" s="484"/>
      <c r="K25" s="481">
        <v>10831.97</v>
      </c>
      <c r="L25" s="481">
        <v>12876.9</v>
      </c>
      <c r="M25" s="481">
        <v>15128.24</v>
      </c>
      <c r="N25" s="481">
        <v>17944.73</v>
      </c>
      <c r="O25" s="481">
        <v>21697.02</v>
      </c>
    </row>
    <row r="26" spans="1:15" s="483" customFormat="1">
      <c r="A26" s="480">
        <v>19</v>
      </c>
      <c r="B26" s="481" t="s">
        <v>34</v>
      </c>
      <c r="C26" s="482">
        <v>3240.58</v>
      </c>
      <c r="D26" s="482">
        <v>4112.63</v>
      </c>
      <c r="E26" s="482">
        <v>3408</v>
      </c>
      <c r="F26" s="482">
        <v>4070</v>
      </c>
      <c r="G26" s="482">
        <v>5500</v>
      </c>
      <c r="H26" s="484"/>
      <c r="I26" s="484"/>
      <c r="K26" s="481">
        <v>37375</v>
      </c>
      <c r="L26" s="481">
        <v>41659</v>
      </c>
      <c r="M26" s="481">
        <v>47537</v>
      </c>
      <c r="N26" s="481">
        <v>54034</v>
      </c>
      <c r="O26" s="481">
        <v>65034</v>
      </c>
    </row>
    <row r="27" spans="1:15" s="483" customFormat="1">
      <c r="A27" s="480">
        <v>20</v>
      </c>
      <c r="B27" s="481" t="s">
        <v>35</v>
      </c>
      <c r="C27" s="482">
        <v>4924.53</v>
      </c>
      <c r="D27" s="482">
        <v>4686.43</v>
      </c>
      <c r="E27" s="482">
        <v>4705.5</v>
      </c>
      <c r="F27" s="482">
        <v>5767.49</v>
      </c>
      <c r="G27" s="482">
        <v>7311.91</v>
      </c>
      <c r="H27" s="484"/>
      <c r="I27" s="484"/>
      <c r="K27" s="481">
        <v>24891.63</v>
      </c>
      <c r="L27" s="481">
        <v>28223.86</v>
      </c>
      <c r="M27" s="481">
        <v>31132.38</v>
      </c>
      <c r="N27" s="481">
        <v>34664.81</v>
      </c>
      <c r="O27" s="481">
        <v>44961.41</v>
      </c>
    </row>
    <row r="28" spans="1:15" s="483" customFormat="1">
      <c r="A28" s="480">
        <v>21</v>
      </c>
      <c r="B28" s="481" t="s">
        <v>36</v>
      </c>
      <c r="C28" s="482">
        <v>1964.29</v>
      </c>
      <c r="D28" s="482">
        <v>2433.0500000000002</v>
      </c>
      <c r="E28" s="482">
        <v>3077.18</v>
      </c>
      <c r="F28" s="482">
        <v>3766.53</v>
      </c>
      <c r="G28" s="482">
        <v>5158.05</v>
      </c>
      <c r="H28" s="482"/>
      <c r="I28" s="484"/>
      <c r="K28" s="481">
        <v>25601.11</v>
      </c>
      <c r="L28" s="481">
        <v>29513.88</v>
      </c>
      <c r="M28" s="481">
        <v>35896.9</v>
      </c>
      <c r="N28" s="481">
        <v>45011.59</v>
      </c>
      <c r="O28" s="481">
        <v>53923.5</v>
      </c>
    </row>
    <row r="29" spans="1:15" s="483" customFormat="1">
      <c r="A29" s="480">
        <v>22</v>
      </c>
      <c r="B29" s="481" t="s">
        <v>37</v>
      </c>
      <c r="C29" s="482">
        <v>4682.29</v>
      </c>
      <c r="D29" s="482">
        <v>6331</v>
      </c>
      <c r="E29" s="482">
        <v>6946.12</v>
      </c>
      <c r="F29" s="482">
        <v>9885.81</v>
      </c>
      <c r="G29" s="482">
        <v>12374</v>
      </c>
      <c r="H29" s="484"/>
      <c r="I29" s="484"/>
      <c r="K29" s="481">
        <v>64780.05</v>
      </c>
      <c r="L29" s="481">
        <v>75693.91</v>
      </c>
      <c r="M29" s="481">
        <v>94915.98</v>
      </c>
      <c r="N29" s="481">
        <v>106459.26</v>
      </c>
      <c r="O29" s="481">
        <v>127371.52</v>
      </c>
    </row>
    <row r="30" spans="1:15" s="483" customFormat="1">
      <c r="A30" s="480">
        <v>23</v>
      </c>
      <c r="B30" s="481" t="s">
        <v>104</v>
      </c>
      <c r="C30" s="482">
        <v>1801.36</v>
      </c>
      <c r="D30" s="482">
        <v>2074.96</v>
      </c>
      <c r="E30" s="482">
        <v>3283.41</v>
      </c>
      <c r="F30" s="482">
        <v>4011</v>
      </c>
      <c r="G30" s="482">
        <v>4550</v>
      </c>
      <c r="H30" s="484"/>
      <c r="I30" s="484"/>
      <c r="K30" s="481">
        <v>17723.27</v>
      </c>
      <c r="L30" s="481">
        <v>21190.12</v>
      </c>
      <c r="M30" s="481">
        <v>25291.58</v>
      </c>
      <c r="N30" s="481">
        <v>29367.94</v>
      </c>
      <c r="O30" s="481">
        <v>36323.22</v>
      </c>
    </row>
    <row r="31" spans="1:15" s="483" customFormat="1">
      <c r="A31" s="480">
        <v>24</v>
      </c>
      <c r="B31" s="481" t="s">
        <v>39</v>
      </c>
      <c r="C31" s="482">
        <v>2432.59</v>
      </c>
      <c r="D31" s="482">
        <v>2829.83</v>
      </c>
      <c r="E31" s="482">
        <v>3357.42</v>
      </c>
      <c r="F31" s="482">
        <v>5309.32</v>
      </c>
      <c r="G31" s="482">
        <v>4821.87</v>
      </c>
      <c r="H31" s="484"/>
      <c r="I31" s="484"/>
      <c r="K31" s="481">
        <v>23060.86</v>
      </c>
      <c r="L31" s="481">
        <v>24568.99</v>
      </c>
      <c r="M31" s="481">
        <v>27407.94</v>
      </c>
      <c r="N31" s="481">
        <v>32897.18</v>
      </c>
      <c r="O31" s="481">
        <v>35405.75</v>
      </c>
    </row>
    <row r="32" spans="1:15" s="483" customFormat="1">
      <c r="A32" s="480">
        <v>25</v>
      </c>
      <c r="B32" s="481" t="s">
        <v>40</v>
      </c>
      <c r="C32" s="482">
        <v>2564.1999999999998</v>
      </c>
      <c r="D32" s="482">
        <v>3322.11</v>
      </c>
      <c r="E32" s="482">
        <v>4886.8500000000004</v>
      </c>
      <c r="F32" s="482">
        <v>5150.6499999999996</v>
      </c>
      <c r="G32" s="482">
        <v>6155.47</v>
      </c>
      <c r="H32" s="484"/>
      <c r="I32" s="484"/>
      <c r="K32" s="481">
        <v>29127.65</v>
      </c>
      <c r="L32" s="481">
        <v>34295.599999999999</v>
      </c>
      <c r="M32" s="481">
        <v>40132.19</v>
      </c>
      <c r="N32" s="481">
        <v>44873.35</v>
      </c>
      <c r="O32" s="481">
        <v>51934.74</v>
      </c>
    </row>
    <row r="33" spans="1:15" s="483" customFormat="1">
      <c r="A33" s="480">
        <v>26</v>
      </c>
      <c r="B33" s="481" t="s">
        <v>41</v>
      </c>
      <c r="C33" s="481">
        <v>6017.03</v>
      </c>
      <c r="D33" s="481">
        <v>7734.56</v>
      </c>
      <c r="E33" s="481">
        <v>8384.89</v>
      </c>
      <c r="F33" s="481">
        <v>11768.11</v>
      </c>
      <c r="G33" s="481">
        <v>12904.67</v>
      </c>
      <c r="H33" s="484"/>
      <c r="I33" s="484"/>
      <c r="K33" s="481">
        <v>42975.01</v>
      </c>
      <c r="L33" s="481">
        <v>53590.26</v>
      </c>
      <c r="M33" s="481">
        <v>59375.35</v>
      </c>
      <c r="N33" s="481">
        <v>72916.31</v>
      </c>
      <c r="O33" s="481">
        <v>80985.070000000007</v>
      </c>
    </row>
    <row r="34" spans="1:15" s="483" customFormat="1">
      <c r="A34" s="480">
        <v>27</v>
      </c>
      <c r="B34" s="481" t="s">
        <v>42</v>
      </c>
      <c r="C34" s="482">
        <v>6136.24</v>
      </c>
      <c r="D34" s="482">
        <v>6926.28</v>
      </c>
      <c r="E34" s="482">
        <v>11074.43</v>
      </c>
      <c r="F34" s="482">
        <v>12617.84</v>
      </c>
      <c r="G34" s="482">
        <v>13743.61</v>
      </c>
      <c r="H34" s="484"/>
      <c r="I34" s="484"/>
      <c r="K34" s="481">
        <v>65223.21</v>
      </c>
      <c r="L34" s="481">
        <v>75968.89</v>
      </c>
      <c r="M34" s="481">
        <v>89373.61</v>
      </c>
      <c r="N34" s="481">
        <v>107675.61</v>
      </c>
      <c r="O34" s="481">
        <v>129645.54</v>
      </c>
    </row>
    <row r="35" spans="1:15" s="483" customFormat="1">
      <c r="A35" s="480">
        <v>28</v>
      </c>
      <c r="B35" s="481" t="s">
        <v>43</v>
      </c>
      <c r="C35" s="482">
        <v>3995.4</v>
      </c>
      <c r="D35" s="482">
        <v>4432.79</v>
      </c>
      <c r="E35" s="482">
        <v>6510.57</v>
      </c>
      <c r="F35" s="482">
        <v>8077.96</v>
      </c>
      <c r="G35" s="482">
        <v>6879.15</v>
      </c>
      <c r="H35" s="484"/>
      <c r="I35" s="484"/>
      <c r="K35" s="481">
        <v>38314.42</v>
      </c>
      <c r="L35" s="481">
        <v>51613.31</v>
      </c>
      <c r="M35" s="481">
        <v>58499.88</v>
      </c>
      <c r="N35" s="481">
        <v>64538.16</v>
      </c>
      <c r="O35" s="481">
        <v>74138.740000000005</v>
      </c>
    </row>
    <row r="36" spans="1:15" s="111" customFormat="1">
      <c r="A36" s="113"/>
      <c r="B36" s="113" t="s">
        <v>82</v>
      </c>
      <c r="C36" s="120">
        <f>SUM(C19:C35)</f>
        <v>51564.17</v>
      </c>
      <c r="D36" s="120">
        <f>SUM(D19:D35)</f>
        <v>60590.979999999996</v>
      </c>
      <c r="E36" s="120">
        <f>SUM(E19:E35)</f>
        <v>76457.23000000001</v>
      </c>
      <c r="F36" s="120">
        <f>SUM(F19:F35)</f>
        <v>99316.65</v>
      </c>
      <c r="G36" s="120">
        <f>SUM(G19:G35)</f>
        <v>108941.42</v>
      </c>
      <c r="H36" s="120">
        <f t="shared" ref="H36:O36" si="1">SUM(H19:H35)</f>
        <v>0</v>
      </c>
      <c r="I36" s="120">
        <f t="shared" si="1"/>
        <v>0</v>
      </c>
      <c r="J36" s="490">
        <f t="shared" si="1"/>
        <v>0</v>
      </c>
      <c r="K36" s="120">
        <f t="shared" si="1"/>
        <v>520459.95000000007</v>
      </c>
      <c r="L36" s="120">
        <f t="shared" si="1"/>
        <v>613966.18999999994</v>
      </c>
      <c r="M36" s="113">
        <f t="shared" si="1"/>
        <v>713950.23</v>
      </c>
      <c r="N36" s="113">
        <f t="shared" si="1"/>
        <v>833828.81</v>
      </c>
      <c r="O36" s="113">
        <f t="shared" si="1"/>
        <v>991665.76</v>
      </c>
    </row>
    <row r="37" spans="1:15">
      <c r="A37" s="112"/>
      <c r="B37" s="113" t="s">
        <v>61</v>
      </c>
      <c r="C37" s="116"/>
      <c r="D37" s="116"/>
      <c r="E37" s="116"/>
      <c r="F37" s="116"/>
      <c r="G37" s="116"/>
      <c r="H37" s="114"/>
      <c r="I37" s="114"/>
      <c r="K37" s="112"/>
      <c r="L37" s="112"/>
      <c r="M37" s="112"/>
      <c r="N37" s="112"/>
      <c r="O37" s="112"/>
    </row>
    <row r="38" spans="1:15" s="483" customFormat="1">
      <c r="A38" s="480">
        <v>29</v>
      </c>
      <c r="B38" s="481" t="s">
        <v>46</v>
      </c>
      <c r="C38" s="482">
        <v>0</v>
      </c>
      <c r="D38" s="482">
        <v>0</v>
      </c>
      <c r="E38" s="482">
        <v>0</v>
      </c>
      <c r="F38" s="482">
        <v>0</v>
      </c>
      <c r="G38" s="482">
        <v>0</v>
      </c>
      <c r="H38" s="482"/>
      <c r="I38" s="482"/>
      <c r="K38" s="481">
        <v>9770.52</v>
      </c>
      <c r="L38" s="481">
        <v>11762.56</v>
      </c>
      <c r="M38" s="485">
        <v>13900.89</v>
      </c>
      <c r="N38" s="485">
        <v>14381.73</v>
      </c>
      <c r="O38" s="485">
        <v>19068.88</v>
      </c>
    </row>
    <row r="39" spans="1:15" s="483" customFormat="1">
      <c r="A39" s="480">
        <v>30</v>
      </c>
      <c r="B39" s="481" t="s">
        <v>47</v>
      </c>
      <c r="C39" s="482">
        <v>121</v>
      </c>
      <c r="D39" s="482">
        <v>166</v>
      </c>
      <c r="E39" s="482">
        <v>289</v>
      </c>
      <c r="F39" s="482">
        <v>264</v>
      </c>
      <c r="G39" s="482">
        <v>292</v>
      </c>
      <c r="H39" s="482"/>
      <c r="I39" s="482"/>
      <c r="J39" s="487"/>
      <c r="K39" s="484">
        <v>2232</v>
      </c>
      <c r="L39" s="484">
        <v>2601</v>
      </c>
      <c r="M39" s="485">
        <v>3084</v>
      </c>
      <c r="N39" s="485">
        <v>3552</v>
      </c>
      <c r="O39" s="485">
        <v>3776</v>
      </c>
    </row>
    <row r="40" spans="1:15">
      <c r="A40" s="112"/>
      <c r="B40" s="113" t="s">
        <v>83</v>
      </c>
      <c r="C40" s="120">
        <f>SUM(C38:C39)</f>
        <v>121</v>
      </c>
      <c r="D40" s="120">
        <f>SUM(D38:D39)</f>
        <v>166</v>
      </c>
      <c r="E40" s="120">
        <f>SUM(E38:E39)</f>
        <v>289</v>
      </c>
      <c r="F40" s="120">
        <f>SUM(F38:F39)</f>
        <v>264</v>
      </c>
      <c r="G40" s="120">
        <f>SUM(G38:G39)</f>
        <v>292</v>
      </c>
      <c r="H40" s="120">
        <f t="shared" ref="H40:O40" si="2">SUM(H38:H39)</f>
        <v>0</v>
      </c>
      <c r="I40" s="120">
        <f t="shared" si="2"/>
        <v>0</v>
      </c>
      <c r="J40" s="490">
        <f t="shared" si="2"/>
        <v>0</v>
      </c>
      <c r="K40" s="120">
        <f t="shared" si="2"/>
        <v>12002.52</v>
      </c>
      <c r="L40" s="120">
        <f t="shared" si="2"/>
        <v>14363.56</v>
      </c>
      <c r="M40" s="122">
        <f t="shared" si="2"/>
        <v>16984.89</v>
      </c>
      <c r="N40" s="122">
        <f t="shared" si="2"/>
        <v>17933.73</v>
      </c>
      <c r="O40" s="122">
        <f t="shared" si="2"/>
        <v>22844.880000000001</v>
      </c>
    </row>
    <row r="41" spans="1:15">
      <c r="A41" s="112"/>
      <c r="B41" s="112"/>
      <c r="C41" s="116"/>
      <c r="D41" s="116"/>
      <c r="E41" s="116"/>
      <c r="F41" s="116"/>
      <c r="G41" s="116"/>
      <c r="H41" s="116"/>
      <c r="I41" s="116"/>
      <c r="J41" s="491"/>
      <c r="K41" s="116"/>
      <c r="L41" s="116"/>
      <c r="M41" s="112"/>
      <c r="N41" s="112"/>
      <c r="O41" s="112"/>
    </row>
    <row r="42" spans="1:15" s="111" customFormat="1">
      <c r="A42" s="113"/>
      <c r="B42" s="113" t="s">
        <v>84</v>
      </c>
      <c r="C42" s="120">
        <f>+C17+C36+C40</f>
        <v>56943.43</v>
      </c>
      <c r="D42" s="120">
        <f>+D17+D36+D40</f>
        <v>66784.819999999992</v>
      </c>
      <c r="E42" s="120">
        <f>+E17+E36+E40</f>
        <v>84548.790000000008</v>
      </c>
      <c r="F42" s="120">
        <f>+F17+F36+F40</f>
        <v>109819.9</v>
      </c>
      <c r="G42" s="120">
        <f>+G17+G36+G40</f>
        <v>120213.74</v>
      </c>
      <c r="H42" s="120">
        <f t="shared" ref="H42:O42" si="3">+H17+H36+H40</f>
        <v>0</v>
      </c>
      <c r="I42" s="120">
        <f t="shared" si="3"/>
        <v>0</v>
      </c>
      <c r="J42" s="490">
        <f t="shared" si="3"/>
        <v>2337.4299999999998</v>
      </c>
      <c r="K42" s="120">
        <f t="shared" si="3"/>
        <v>588049.63000000012</v>
      </c>
      <c r="L42" s="120">
        <f t="shared" si="3"/>
        <v>690302.09</v>
      </c>
      <c r="M42" s="122">
        <f t="shared" si="3"/>
        <v>807676.08</v>
      </c>
      <c r="N42" s="122">
        <f t="shared" si="3"/>
        <v>947863.69000000006</v>
      </c>
      <c r="O42" s="122">
        <f t="shared" si="3"/>
        <v>1121453.23</v>
      </c>
    </row>
    <row r="44" spans="1:15">
      <c r="B44" s="111" t="s">
        <v>310</v>
      </c>
    </row>
  </sheetData>
  <mergeCells count="5">
    <mergeCell ref="K2:O2"/>
    <mergeCell ref="C2:G2"/>
    <mergeCell ref="A1:O1"/>
    <mergeCell ref="B2:B3"/>
    <mergeCell ref="A2:A3"/>
  </mergeCells>
  <phoneticPr fontId="6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S43"/>
  <sheetViews>
    <sheetView view="pageBreakPreview" zoomScaleNormal="100" workbookViewId="0">
      <pane xSplit="2" ySplit="4" topLeftCell="D5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5.28515625" style="161" customWidth="1"/>
    <col min="2" max="2" width="26.42578125" style="153" customWidth="1"/>
    <col min="3" max="3" width="13.7109375" style="153" hidden="1" customWidth="1"/>
    <col min="4" max="18" width="12" style="153" customWidth="1"/>
    <col min="19" max="19" width="11.5703125" style="153" customWidth="1"/>
    <col min="20" max="16384" width="9.140625" style="153"/>
  </cols>
  <sheetData>
    <row r="1" spans="1:19" ht="27" customHeight="1">
      <c r="A1" s="536" t="s">
        <v>171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</row>
    <row r="2" spans="1:19" s="235" customFormat="1" ht="30.75" customHeight="1">
      <c r="A2" s="534" t="s">
        <v>99</v>
      </c>
      <c r="B2" s="537" t="s">
        <v>129</v>
      </c>
      <c r="C2" s="154" t="s">
        <v>156</v>
      </c>
      <c r="D2" s="532" t="s">
        <v>173</v>
      </c>
      <c r="E2" s="532"/>
      <c r="F2" s="532"/>
      <c r="G2" s="532"/>
      <c r="H2" s="532"/>
      <c r="I2" s="532" t="s">
        <v>304</v>
      </c>
      <c r="J2" s="532"/>
      <c r="K2" s="532"/>
      <c r="L2" s="532"/>
      <c r="M2" s="532"/>
      <c r="N2" s="532" t="s">
        <v>159</v>
      </c>
      <c r="O2" s="532"/>
      <c r="P2" s="532"/>
      <c r="Q2" s="532"/>
      <c r="R2" s="532"/>
      <c r="S2" s="532"/>
    </row>
    <row r="3" spans="1:19" s="155" customFormat="1" ht="18.75" customHeight="1">
      <c r="A3" s="534"/>
      <c r="B3" s="537"/>
      <c r="C3" s="154" t="s">
        <v>130</v>
      </c>
      <c r="D3" s="156" t="s">
        <v>55</v>
      </c>
      <c r="E3" s="156" t="s">
        <v>56</v>
      </c>
      <c r="F3" s="156" t="s">
        <v>7</v>
      </c>
      <c r="G3" s="156" t="s">
        <v>8</v>
      </c>
      <c r="H3" s="156" t="s">
        <v>9</v>
      </c>
      <c r="I3" s="156" t="s">
        <v>55</v>
      </c>
      <c r="J3" s="156" t="s">
        <v>56</v>
      </c>
      <c r="K3" s="156" t="s">
        <v>7</v>
      </c>
      <c r="L3" s="156" t="s">
        <v>8</v>
      </c>
      <c r="M3" s="156" t="s">
        <v>9</v>
      </c>
      <c r="N3" s="156" t="s">
        <v>55</v>
      </c>
      <c r="O3" s="156" t="s">
        <v>56</v>
      </c>
      <c r="P3" s="156" t="s">
        <v>7</v>
      </c>
      <c r="Q3" s="156" t="s">
        <v>8</v>
      </c>
      <c r="R3" s="156" t="s">
        <v>9</v>
      </c>
      <c r="S3" s="224" t="s">
        <v>130</v>
      </c>
    </row>
    <row r="4" spans="1:19" s="155" customFormat="1" ht="24">
      <c r="A4" s="157"/>
      <c r="B4" s="157"/>
      <c r="C4" s="154" t="s">
        <v>157</v>
      </c>
      <c r="D4" s="154" t="s">
        <v>10</v>
      </c>
      <c r="E4" s="154" t="s">
        <v>10</v>
      </c>
      <c r="F4" s="154" t="s">
        <v>10</v>
      </c>
      <c r="G4" s="154" t="s">
        <v>133</v>
      </c>
      <c r="H4" s="154" t="s">
        <v>134</v>
      </c>
      <c r="I4" s="154"/>
      <c r="J4" s="154"/>
      <c r="K4" s="154"/>
      <c r="L4" s="154"/>
      <c r="M4" s="154"/>
      <c r="N4" s="154" t="s">
        <v>10</v>
      </c>
      <c r="O4" s="154" t="s">
        <v>10</v>
      </c>
      <c r="P4" s="154" t="s">
        <v>10</v>
      </c>
      <c r="Q4" s="154" t="s">
        <v>133</v>
      </c>
      <c r="R4" s="154" t="s">
        <v>134</v>
      </c>
      <c r="S4" s="225" t="s">
        <v>172</v>
      </c>
    </row>
    <row r="5" spans="1:19" ht="15.75">
      <c r="A5" s="163" t="s">
        <v>137</v>
      </c>
      <c r="B5" s="164" t="s">
        <v>141</v>
      </c>
      <c r="C5" s="164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58"/>
      <c r="O5" s="158"/>
      <c r="P5" s="158"/>
      <c r="Q5" s="158"/>
      <c r="R5" s="158"/>
      <c r="S5" s="244"/>
    </row>
    <row r="6" spans="1:19" ht="15.75">
      <c r="A6" s="165">
        <v>1</v>
      </c>
      <c r="B6" s="166" t="s">
        <v>14</v>
      </c>
      <c r="C6" s="166">
        <v>7901</v>
      </c>
      <c r="D6" s="170">
        <v>1470.0500000000002</v>
      </c>
      <c r="E6" s="170">
        <v>2099.54</v>
      </c>
      <c r="F6" s="170">
        <v>2119.0700000000002</v>
      </c>
      <c r="G6" s="170">
        <v>2035.57</v>
      </c>
      <c r="H6" s="170">
        <v>2640.4900000000002</v>
      </c>
      <c r="I6" s="170">
        <f ca="1">+'Outlay % GSDP'!H7</f>
        <v>4810</v>
      </c>
      <c r="J6" s="170">
        <f ca="1">+'Outlay % GSDP'!I7</f>
        <v>5687</v>
      </c>
      <c r="K6" s="170">
        <f ca="1">+'Outlay % GSDP'!J7</f>
        <v>7085</v>
      </c>
      <c r="L6" s="170">
        <f ca="1">+'Outlay % GSDP'!K7</f>
        <v>8233</v>
      </c>
      <c r="M6" s="170">
        <f ca="1">+'Outlay % GSDP'!L7</f>
        <v>9357</v>
      </c>
      <c r="N6" s="158">
        <f t="shared" ref="N6:R8" si="0">D6/I6*100</f>
        <v>30.562370062370064</v>
      </c>
      <c r="O6" s="158">
        <f t="shared" si="0"/>
        <v>36.918234570072094</v>
      </c>
      <c r="P6" s="158">
        <f t="shared" si="0"/>
        <v>29.909244883556813</v>
      </c>
      <c r="Q6" s="158">
        <f t="shared" si="0"/>
        <v>24.724523260051011</v>
      </c>
      <c r="R6" s="158">
        <f t="shared" si="0"/>
        <v>28.219407929892061</v>
      </c>
      <c r="S6" s="244">
        <f t="shared" ref="S6:S17" si="1">+AVERAGE(N6:R6)</f>
        <v>30.06675614118841</v>
      </c>
    </row>
    <row r="7" spans="1:19" ht="15.75">
      <c r="A7" s="165">
        <v>2</v>
      </c>
      <c r="B7" s="166" t="s">
        <v>15</v>
      </c>
      <c r="C7" s="166">
        <v>23954</v>
      </c>
      <c r="D7" s="170">
        <v>4489.7699999999977</v>
      </c>
      <c r="E7" s="170">
        <v>7063.3</v>
      </c>
      <c r="F7" s="170">
        <v>6257.7899999999981</v>
      </c>
      <c r="G7" s="170">
        <v>7645.0000000000018</v>
      </c>
      <c r="H7" s="170">
        <v>9000.0038319999985</v>
      </c>
      <c r="I7" s="170">
        <f ca="1">+'Outlay % GSDP'!H8</f>
        <v>71076</v>
      </c>
      <c r="J7" s="170">
        <f ca="1">+'Outlay % GSDP'!I8</f>
        <v>81074</v>
      </c>
      <c r="K7" s="170">
        <f ca="1">+'Outlay % GSDP'!J8</f>
        <v>92737</v>
      </c>
      <c r="L7" s="170">
        <f ca="1">+'Outlay % GSDP'!K8</f>
        <v>104015</v>
      </c>
      <c r="M7" s="170">
        <f ca="1">+'Outlay % GSDP'!L8</f>
        <v>115408</v>
      </c>
      <c r="N7" s="158">
        <f t="shared" si="0"/>
        <v>6.3168580111429993</v>
      </c>
      <c r="O7" s="158">
        <f t="shared" si="0"/>
        <v>8.7121641956730898</v>
      </c>
      <c r="P7" s="158">
        <f t="shared" si="0"/>
        <v>6.747889192016129</v>
      </c>
      <c r="Q7" s="158">
        <f t="shared" si="0"/>
        <v>7.349901456520695</v>
      </c>
      <c r="R7" s="158">
        <f t="shared" si="0"/>
        <v>7.7984228407042835</v>
      </c>
      <c r="S7" s="244">
        <f t="shared" si="1"/>
        <v>7.3850471392114398</v>
      </c>
    </row>
    <row r="8" spans="1:19" ht="15.75">
      <c r="A8" s="165">
        <v>3</v>
      </c>
      <c r="B8" s="166" t="s">
        <v>16</v>
      </c>
      <c r="C8" s="166">
        <v>13778</v>
      </c>
      <c r="D8" s="170">
        <v>2764.6800000000003</v>
      </c>
      <c r="E8" s="170">
        <v>1979.6299999999999</v>
      </c>
      <c r="F8" s="170">
        <v>2227.7999999999997</v>
      </c>
      <c r="G8" s="170">
        <v>3037.2200000000003</v>
      </c>
      <c r="H8" s="170">
        <v>3300</v>
      </c>
      <c r="I8" s="170">
        <f ca="1">+'Outlay % GSDP'!H9</f>
        <v>33963</v>
      </c>
      <c r="J8" s="170">
        <f ca="1">+'Outlay % GSDP'!I9</f>
        <v>41483</v>
      </c>
      <c r="K8" s="170">
        <f ca="1">+'Outlay % GSDP'!J9</f>
        <v>48189</v>
      </c>
      <c r="L8" s="170">
        <f ca="1">+'Outlay % GSDP'!K9</f>
        <v>56119</v>
      </c>
      <c r="M8" s="170">
        <f ca="1">+'Outlay % GSDP'!L9</f>
        <v>63331</v>
      </c>
      <c r="N8" s="158">
        <f t="shared" si="0"/>
        <v>8.1402702941436278</v>
      </c>
      <c r="O8" s="158">
        <f t="shared" si="0"/>
        <v>4.772147626738664</v>
      </c>
      <c r="P8" s="158">
        <f t="shared" si="0"/>
        <v>4.6230467534084534</v>
      </c>
      <c r="Q8" s="158">
        <f t="shared" si="0"/>
        <v>5.4121064167216097</v>
      </c>
      <c r="R8" s="158">
        <f t="shared" si="0"/>
        <v>5.2107182896211963</v>
      </c>
      <c r="S8" s="244">
        <f t="shared" si="1"/>
        <v>5.6316578761267095</v>
      </c>
    </row>
    <row r="9" spans="1:19" ht="15.75">
      <c r="A9" s="165">
        <v>4</v>
      </c>
      <c r="B9" s="166" t="s">
        <v>142</v>
      </c>
      <c r="C9" s="166">
        <v>25834</v>
      </c>
      <c r="D9" s="170">
        <v>4164.4499999999989</v>
      </c>
      <c r="E9" s="170">
        <v>5006.1499999999996</v>
      </c>
      <c r="F9" s="170">
        <v>6688.4100000000008</v>
      </c>
      <c r="G9" s="170">
        <v>5768.0499999999993</v>
      </c>
      <c r="H9" s="170">
        <v>4773.3200000000033</v>
      </c>
      <c r="I9" s="170">
        <f ca="1">+'Outlay % GSDP'!H10</f>
        <v>37099</v>
      </c>
      <c r="J9" s="170">
        <f ca="1">+'Outlay % GSDP'!I10</f>
        <v>42315</v>
      </c>
      <c r="K9" s="170">
        <f ca="1">+'Outlay % GSDP'!J10</f>
        <v>48382</v>
      </c>
      <c r="L9" s="170">
        <f ca="1">+'Outlay % GSDP'!K10</f>
        <v>55446</v>
      </c>
      <c r="M9" s="170">
        <f ca="1">+'Outlay % GSDP'!L10</f>
        <v>63589</v>
      </c>
      <c r="N9" s="158">
        <f t="shared" ref="N9:N16" si="2">D9/I9*100</f>
        <v>11.225235181541278</v>
      </c>
      <c r="O9" s="158">
        <f t="shared" ref="O9:O17" si="3">E9/J9*100</f>
        <v>11.830674701642442</v>
      </c>
      <c r="P9" s="158">
        <f t="shared" ref="P9:P17" si="4">F9/K9*100</f>
        <v>13.824170145922038</v>
      </c>
      <c r="Q9" s="158">
        <f t="shared" ref="Q9:Q17" si="5">G9/L9*100</f>
        <v>10.403004725318327</v>
      </c>
      <c r="R9" s="158">
        <f t="shared" ref="R9:R17" si="6">H9/M9*100</f>
        <v>7.5065184229976936</v>
      </c>
      <c r="S9" s="244">
        <f t="shared" si="1"/>
        <v>10.957920635484355</v>
      </c>
    </row>
    <row r="10" spans="1:19" ht="15.75">
      <c r="A10" s="165">
        <v>5</v>
      </c>
      <c r="B10" s="166" t="s">
        <v>18</v>
      </c>
      <c r="C10" s="166">
        <v>8154</v>
      </c>
      <c r="D10" s="170">
        <v>1303.8399999999997</v>
      </c>
      <c r="E10" s="170">
        <v>1602.1100000000026</v>
      </c>
      <c r="F10" s="170">
        <v>1853.260000000002</v>
      </c>
      <c r="G10" s="170">
        <v>2834.4699999999993</v>
      </c>
      <c r="H10" s="170">
        <v>2256.4539000113386</v>
      </c>
      <c r="I10" s="170">
        <f ca="1">+'Outlay % GSDP'!H11</f>
        <v>6783</v>
      </c>
      <c r="J10" s="170">
        <f ca="1">+'Outlay % GSDP'!I11</f>
        <v>7399</v>
      </c>
      <c r="K10" s="170">
        <f ca="1">+'Outlay % GSDP'!J11</f>
        <v>8314</v>
      </c>
      <c r="L10" s="170">
        <f ca="1">+'Outlay % GSDP'!K11</f>
        <v>9198</v>
      </c>
      <c r="M10" s="170">
        <f ca="1">+'Outlay % GSDP'!L11</f>
        <v>10188</v>
      </c>
      <c r="N10" s="158">
        <f t="shared" si="2"/>
        <v>19.222173079758214</v>
      </c>
      <c r="O10" s="158">
        <f t="shared" si="3"/>
        <v>21.653061224489832</v>
      </c>
      <c r="P10" s="158">
        <f t="shared" si="4"/>
        <v>22.290834736588909</v>
      </c>
      <c r="Q10" s="158">
        <f t="shared" si="5"/>
        <v>30.816155686018693</v>
      </c>
      <c r="R10" s="158">
        <f t="shared" si="6"/>
        <v>22.148153710358645</v>
      </c>
      <c r="S10" s="244">
        <f t="shared" si="1"/>
        <v>23.226075687442858</v>
      </c>
    </row>
    <row r="11" spans="1:19" ht="15.75">
      <c r="A11" s="165">
        <v>6</v>
      </c>
      <c r="B11" s="166" t="s">
        <v>19</v>
      </c>
      <c r="C11" s="166">
        <v>9185</v>
      </c>
      <c r="D11" s="170">
        <v>860.77</v>
      </c>
      <c r="E11" s="170">
        <v>1291.1100000000001</v>
      </c>
      <c r="F11" s="170">
        <v>1353.24</v>
      </c>
      <c r="G11" s="170">
        <v>849.34</v>
      </c>
      <c r="H11" s="170">
        <v>2727</v>
      </c>
      <c r="I11" s="170">
        <f ca="1">+'Outlay % GSDP'!H12</f>
        <v>9735</v>
      </c>
      <c r="J11" s="170">
        <f ca="1">+'Outlay % GSDP'!I12</f>
        <v>11617</v>
      </c>
      <c r="K11" s="170">
        <f ca="1">+'Outlay % GSDP'!J12</f>
        <v>12709</v>
      </c>
      <c r="L11" s="170">
        <f ca="1">+'Outlay % GSDP'!K12</f>
        <v>14086</v>
      </c>
      <c r="M11" s="170">
        <f ca="1">+'Outlay % GSDP'!L12</f>
        <v>15895</v>
      </c>
      <c r="N11" s="158">
        <f t="shared" si="2"/>
        <v>8.8420133538777606</v>
      </c>
      <c r="O11" s="158">
        <f t="shared" si="3"/>
        <v>11.113970904708617</v>
      </c>
      <c r="P11" s="158">
        <f t="shared" si="4"/>
        <v>10.647887323943662</v>
      </c>
      <c r="Q11" s="158">
        <f t="shared" si="5"/>
        <v>6.0296748544654273</v>
      </c>
      <c r="R11" s="158">
        <f t="shared" si="6"/>
        <v>17.156338471217364</v>
      </c>
      <c r="S11" s="244">
        <f t="shared" si="1"/>
        <v>10.757976981642566</v>
      </c>
    </row>
    <row r="12" spans="1:19" ht="15.75">
      <c r="A12" s="165">
        <v>7</v>
      </c>
      <c r="B12" s="166" t="s">
        <v>20</v>
      </c>
      <c r="C12" s="166">
        <v>5534</v>
      </c>
      <c r="D12" s="170">
        <v>1042.17</v>
      </c>
      <c r="E12" s="170">
        <v>849.63999999999987</v>
      </c>
      <c r="F12" s="170">
        <v>932.12</v>
      </c>
      <c r="G12" s="170">
        <v>1264.26</v>
      </c>
      <c r="H12" s="170">
        <v>1573.6699999999998</v>
      </c>
      <c r="I12" s="170">
        <f ca="1">+'Outlay % GSDP'!H13</f>
        <v>3816</v>
      </c>
      <c r="J12" s="170">
        <f ca="1">+'Outlay % GSDP'!I13</f>
        <v>4577</v>
      </c>
      <c r="K12" s="170">
        <f ca="1">+'Outlay % GSDP'!J13</f>
        <v>5260</v>
      </c>
      <c r="L12" s="170">
        <f ca="1">+'Outlay % GSDP'!K13</f>
        <v>6058</v>
      </c>
      <c r="M12" s="170">
        <f ca="1">+'Outlay % GSDP'!L13</f>
        <v>6666.8290000000006</v>
      </c>
      <c r="N12" s="158">
        <f t="shared" si="2"/>
        <v>27.310534591194969</v>
      </c>
      <c r="O12" s="158">
        <f t="shared" si="3"/>
        <v>18.563251037797681</v>
      </c>
      <c r="P12" s="158">
        <f t="shared" si="4"/>
        <v>17.720912547528517</v>
      </c>
      <c r="Q12" s="158">
        <f t="shared" si="5"/>
        <v>20.869263783426874</v>
      </c>
      <c r="R12" s="158">
        <f t="shared" si="6"/>
        <v>23.604475231028118</v>
      </c>
      <c r="S12" s="244">
        <f t="shared" si="1"/>
        <v>21.613687438195232</v>
      </c>
    </row>
    <row r="13" spans="1:19" ht="15.75">
      <c r="A13" s="165">
        <v>8</v>
      </c>
      <c r="B13" s="166" t="s">
        <v>21</v>
      </c>
      <c r="C13" s="166">
        <v>5978</v>
      </c>
      <c r="D13" s="170">
        <v>843.74000000000024</v>
      </c>
      <c r="E13" s="170">
        <v>1037.0400000000004</v>
      </c>
      <c r="F13" s="170">
        <v>1021.5781000000003</v>
      </c>
      <c r="G13" s="170">
        <v>1523.1399999999999</v>
      </c>
      <c r="H13" s="170">
        <v>1693.8449759999999</v>
      </c>
      <c r="I13" s="170">
        <f ca="1">+'Outlay % GSDP'!H14</f>
        <v>8075</v>
      </c>
      <c r="J13" s="170">
        <f ca="1">+'Outlay % GSDP'!I14</f>
        <v>9436</v>
      </c>
      <c r="K13" s="170">
        <f ca="1">+'Outlay % GSDP'!J14</f>
        <v>10507</v>
      </c>
      <c r="L13" s="170">
        <f ca="1">+'Outlay % GSDP'!K14</f>
        <v>11190</v>
      </c>
      <c r="M13" s="170">
        <f ca="1">+'Outlay % GSDP'!L14</f>
        <v>12134</v>
      </c>
      <c r="N13" s="158">
        <f t="shared" si="2"/>
        <v>10.448792569659446</v>
      </c>
      <c r="O13" s="158">
        <f t="shared" si="3"/>
        <v>10.990250105977113</v>
      </c>
      <c r="P13" s="158">
        <f t="shared" si="4"/>
        <v>9.7228333491957759</v>
      </c>
      <c r="Q13" s="158">
        <f t="shared" si="5"/>
        <v>13.611617515638963</v>
      </c>
      <c r="R13" s="158">
        <f t="shared" si="6"/>
        <v>13.95949378605571</v>
      </c>
      <c r="S13" s="244">
        <f t="shared" si="1"/>
        <v>11.746597465305401</v>
      </c>
    </row>
    <row r="14" spans="1:19" ht="15.75">
      <c r="A14" s="165">
        <v>9</v>
      </c>
      <c r="B14" s="166" t="s">
        <v>22</v>
      </c>
      <c r="C14" s="166">
        <v>4720</v>
      </c>
      <c r="D14" s="170">
        <v>770.44000000000028</v>
      </c>
      <c r="E14" s="170">
        <v>932.09000000000015</v>
      </c>
      <c r="F14" s="170">
        <v>1223.21</v>
      </c>
      <c r="G14" s="170">
        <v>673.65</v>
      </c>
      <c r="H14" s="170">
        <v>1454.6999270000003</v>
      </c>
      <c r="I14" s="170">
        <f ca="1">+'Outlay % GSDP'!H15</f>
        <v>2506</v>
      </c>
      <c r="J14" s="170">
        <f ca="1">+'Outlay % GSDP'!I15</f>
        <v>3229</v>
      </c>
      <c r="K14" s="170">
        <f ca="1">+'Outlay % GSDP'!J15</f>
        <v>6133</v>
      </c>
      <c r="L14" s="170">
        <f ca="1">+'Outlay % GSDP'!K15</f>
        <v>7145</v>
      </c>
      <c r="M14" s="170">
        <f ca="1">+'Outlay % GSDP'!L15</f>
        <v>8400</v>
      </c>
      <c r="N14" s="158">
        <f t="shared" si="2"/>
        <v>30.743814844373514</v>
      </c>
      <c r="O14" s="158">
        <f t="shared" si="3"/>
        <v>28.866212449674826</v>
      </c>
      <c r="P14" s="158">
        <f t="shared" si="4"/>
        <v>19.944725256807434</v>
      </c>
      <c r="Q14" s="158">
        <f t="shared" si="5"/>
        <v>9.4282715185444363</v>
      </c>
      <c r="R14" s="158">
        <f t="shared" si="6"/>
        <v>17.317856273809529</v>
      </c>
      <c r="S14" s="244">
        <f t="shared" si="1"/>
        <v>21.260176068641947</v>
      </c>
    </row>
    <row r="15" spans="1:19" ht="15.75">
      <c r="A15" s="165">
        <v>10</v>
      </c>
      <c r="B15" s="166" t="s">
        <v>23</v>
      </c>
      <c r="C15" s="166">
        <v>8852</v>
      </c>
      <c r="D15" s="170">
        <v>1197.02</v>
      </c>
      <c r="E15" s="170">
        <v>1777.78</v>
      </c>
      <c r="F15" s="170">
        <v>1780.97</v>
      </c>
      <c r="G15" s="170">
        <v>1861.61</v>
      </c>
      <c r="H15" s="170">
        <v>1971.26</v>
      </c>
      <c r="I15" s="170">
        <f ca="1">+'Outlay % GSDP'!H16</f>
        <v>11797</v>
      </c>
      <c r="J15" s="170">
        <f ca="1">+'Outlay % GSDP'!I16</f>
        <v>13573</v>
      </c>
      <c r="K15" s="170">
        <f ca="1">+'Outlay % GSDP'!J16</f>
        <v>15348</v>
      </c>
      <c r="L15" s="170">
        <f ca="1">+'Outlay % GSDP'!K16</f>
        <v>17387</v>
      </c>
      <c r="M15" s="170">
        <f ca="1">+'Outlay % GSDP'!L16</f>
        <v>19731</v>
      </c>
      <c r="N15" s="158">
        <f t="shared" si="2"/>
        <v>10.14681698736967</v>
      </c>
      <c r="O15" s="158">
        <f t="shared" si="3"/>
        <v>13.097914978265674</v>
      </c>
      <c r="P15" s="158">
        <f t="shared" si="4"/>
        <v>11.603922335157675</v>
      </c>
      <c r="Q15" s="158">
        <f t="shared" si="5"/>
        <v>10.70690745959625</v>
      </c>
      <c r="R15" s="158">
        <f t="shared" si="6"/>
        <v>9.9906745730069435</v>
      </c>
      <c r="S15" s="244">
        <f t="shared" si="1"/>
        <v>11.109247266679244</v>
      </c>
    </row>
    <row r="16" spans="1:19" ht="15.75">
      <c r="A16" s="165">
        <v>11</v>
      </c>
      <c r="B16" s="166" t="s">
        <v>24</v>
      </c>
      <c r="C16" s="166">
        <v>42798</v>
      </c>
      <c r="D16" s="170">
        <v>4818.7099907176671</v>
      </c>
      <c r="E16" s="170">
        <v>4094.4909164651503</v>
      </c>
      <c r="F16" s="170">
        <v>4744.228000000001</v>
      </c>
      <c r="G16" s="170">
        <v>6407.8465999999989</v>
      </c>
      <c r="H16" s="170">
        <v>7800.0076899999985</v>
      </c>
      <c r="I16" s="170">
        <f ca="1">+'Outlay % GSDP'!H17</f>
        <v>45856</v>
      </c>
      <c r="J16" s="170">
        <f ca="1">+'Outlay % GSDP'!I17</f>
        <v>56025</v>
      </c>
      <c r="K16" s="170">
        <f ca="1">+'Outlay % GSDP'!J17</f>
        <v>70855</v>
      </c>
      <c r="L16" s="170">
        <f ca="1">+'Outlay % GSDP'!K17</f>
        <v>82460</v>
      </c>
      <c r="M16" s="170">
        <f ca="1">+'Outlay % GSDP'!L17</f>
        <v>95201</v>
      </c>
      <c r="N16" s="158">
        <f t="shared" si="2"/>
        <v>10.508352212835108</v>
      </c>
      <c r="O16" s="158">
        <f t="shared" si="3"/>
        <v>7.3083282757075416</v>
      </c>
      <c r="P16" s="158">
        <f t="shared" si="4"/>
        <v>6.6956855550067056</v>
      </c>
      <c r="Q16" s="158">
        <f t="shared" si="5"/>
        <v>7.7708544748969182</v>
      </c>
      <c r="R16" s="158">
        <f t="shared" si="6"/>
        <v>8.1931993256373339</v>
      </c>
      <c r="S16" s="244">
        <f t="shared" si="1"/>
        <v>8.0952839688167213</v>
      </c>
    </row>
    <row r="17" spans="1:19" s="160" customFormat="1">
      <c r="A17" s="163"/>
      <c r="B17" s="164" t="s">
        <v>143</v>
      </c>
      <c r="C17" s="159">
        <f t="shared" ref="C17:H17" si="7">SUM(C6:C16)</f>
        <v>156688</v>
      </c>
      <c r="D17" s="169">
        <f t="shared" si="7"/>
        <v>23725.639990717664</v>
      </c>
      <c r="E17" s="169">
        <f t="shared" si="7"/>
        <v>27732.880916465154</v>
      </c>
      <c r="F17" s="169">
        <f t="shared" si="7"/>
        <v>30201.676100000004</v>
      </c>
      <c r="G17" s="169">
        <f t="shared" si="7"/>
        <v>33900.156599999995</v>
      </c>
      <c r="H17" s="169">
        <f t="shared" si="7"/>
        <v>39190.750325011337</v>
      </c>
      <c r="I17" s="169">
        <f ca="1">SUM(I6:I16)</f>
        <v>235516</v>
      </c>
      <c r="J17" s="169">
        <f ca="1">SUM(J6:J16)</f>
        <v>276415</v>
      </c>
      <c r="K17" s="169">
        <f ca="1">SUM(K6:K16)</f>
        <v>325519</v>
      </c>
      <c r="L17" s="169">
        <f ca="1">SUM(L6:L16)</f>
        <v>371337</v>
      </c>
      <c r="M17" s="169">
        <f ca="1">SUM(M6:M16)</f>
        <v>419900.82900000003</v>
      </c>
      <c r="N17" s="159">
        <f>D17/I17*100</f>
        <v>10.073897310890837</v>
      </c>
      <c r="O17" s="159">
        <f t="shared" si="3"/>
        <v>10.033059318946206</v>
      </c>
      <c r="P17" s="159">
        <f t="shared" si="4"/>
        <v>9.2780071516562792</v>
      </c>
      <c r="Q17" s="159">
        <f t="shared" si="5"/>
        <v>9.1292159413147616</v>
      </c>
      <c r="R17" s="159">
        <f t="shared" si="6"/>
        <v>9.3333348301180266</v>
      </c>
      <c r="S17" s="244">
        <f t="shared" si="1"/>
        <v>9.5695029105852214</v>
      </c>
    </row>
    <row r="18" spans="1:19" ht="15.75">
      <c r="A18" s="163" t="s">
        <v>140</v>
      </c>
      <c r="B18" s="164" t="s">
        <v>138</v>
      </c>
      <c r="C18" s="16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243"/>
    </row>
    <row r="19" spans="1:19" ht="15.75">
      <c r="A19" s="165">
        <v>1</v>
      </c>
      <c r="B19" s="166" t="s">
        <v>27</v>
      </c>
      <c r="C19" s="168">
        <v>147395</v>
      </c>
      <c r="D19" s="170">
        <v>27178.14</v>
      </c>
      <c r="E19" s="170">
        <v>30629.89</v>
      </c>
      <c r="F19" s="170">
        <v>29405.25</v>
      </c>
      <c r="G19" s="170">
        <v>31592.91</v>
      </c>
      <c r="H19" s="170">
        <v>40171.519999999997</v>
      </c>
      <c r="I19" s="170">
        <f ca="1">+'Outlay % GSDP'!H20</f>
        <v>364813</v>
      </c>
      <c r="J19" s="170">
        <f ca="1">+'Outlay % GSDP'!I20</f>
        <v>426765</v>
      </c>
      <c r="K19" s="170">
        <f ca="1">+'Outlay % GSDP'!J20</f>
        <v>490411</v>
      </c>
      <c r="L19" s="170">
        <f ca="1">+'Outlay % GSDP'!K20</f>
        <v>588963</v>
      </c>
      <c r="M19" s="170">
        <f ca="1">+'Outlay % GSDP'!L20</f>
        <v>675798</v>
      </c>
      <c r="N19" s="158">
        <f>D19/I19*100</f>
        <v>7.4498825425629018</v>
      </c>
      <c r="O19" s="158">
        <f>E19/J19*100</f>
        <v>7.1772263423664082</v>
      </c>
      <c r="P19" s="158">
        <f>F19/K19*100</f>
        <v>5.9960420953037348</v>
      </c>
      <c r="Q19" s="158">
        <f>G19/L19*100</f>
        <v>5.3641586992731289</v>
      </c>
      <c r="R19" s="158">
        <f>H19/M19*100</f>
        <v>5.944308802334425</v>
      </c>
      <c r="S19" s="244">
        <f>+AVERAGE(N19:R19)</f>
        <v>6.3863236963681205</v>
      </c>
    </row>
    <row r="20" spans="1:19" ht="15.75">
      <c r="A20" s="165">
        <v>2</v>
      </c>
      <c r="B20" s="166" t="s">
        <v>28</v>
      </c>
      <c r="C20" s="166">
        <v>60631</v>
      </c>
      <c r="D20" s="170">
        <v>10436.18</v>
      </c>
      <c r="E20" s="170">
        <v>13692.85</v>
      </c>
      <c r="F20" s="170">
        <v>16386.509999999998</v>
      </c>
      <c r="G20" s="170">
        <v>19312.069999999992</v>
      </c>
      <c r="H20" s="170">
        <v>22171.916317000003</v>
      </c>
      <c r="I20" s="170">
        <f ca="1">+'Outlay % GSDP'!H21</f>
        <v>113680</v>
      </c>
      <c r="J20" s="170">
        <f ca="1">+'Outlay % GSDP'!I21</f>
        <v>142279</v>
      </c>
      <c r="K20" s="170">
        <f ca="1">+'Outlay % GSDP'!J21</f>
        <v>163800</v>
      </c>
      <c r="L20" s="170">
        <f ca="1">+'Outlay % GSDP'!K21</f>
        <v>201856</v>
      </c>
      <c r="M20" s="170">
        <f ca="1">+'Outlay % GSDP'!L21</f>
        <v>252694</v>
      </c>
      <c r="N20" s="158">
        <f t="shared" ref="N20:N35" si="8">D20/I20*100</f>
        <v>9.1803131597466567</v>
      </c>
      <c r="O20" s="158">
        <f t="shared" ref="O20:O36" si="9">E20/J20*100</f>
        <v>9.6239430977164595</v>
      </c>
      <c r="P20" s="158">
        <f t="shared" ref="P20:P36" si="10">F20/K20*100</f>
        <v>10.003974358974357</v>
      </c>
      <c r="Q20" s="158">
        <f t="shared" ref="Q20:Q36" si="11">G20/L20*100</f>
        <v>9.5672509115408957</v>
      </c>
      <c r="R20" s="158">
        <f t="shared" ref="R20:R36" si="12">H20/M20*100</f>
        <v>8.7742155797130135</v>
      </c>
      <c r="S20" s="244">
        <f t="shared" ref="S20:S42" si="13">+AVERAGE(N20:R20)</f>
        <v>9.4299394215382755</v>
      </c>
    </row>
    <row r="21" spans="1:19" ht="15.75">
      <c r="A21" s="165">
        <v>3</v>
      </c>
      <c r="B21" s="166" t="s">
        <v>29</v>
      </c>
      <c r="C21" s="166">
        <v>53730</v>
      </c>
      <c r="D21" s="170">
        <v>6048.2000000000044</v>
      </c>
      <c r="E21" s="170">
        <v>6553.67</v>
      </c>
      <c r="F21" s="170">
        <v>9494.77</v>
      </c>
      <c r="G21" s="170">
        <v>11334.17</v>
      </c>
      <c r="H21" s="170">
        <v>15668.99</v>
      </c>
      <c r="I21" s="170">
        <f ca="1">+'Outlay % GSDP'!H22</f>
        <v>80255</v>
      </c>
      <c r="J21" s="170">
        <f ca="1">+'Outlay % GSDP'!I22</f>
        <v>96972</v>
      </c>
      <c r="K21" s="170">
        <f ca="1">+'Outlay % GSDP'!J22</f>
        <v>99262</v>
      </c>
      <c r="L21" s="170">
        <f ca="1">+'Outlay % GSDP'!K22</f>
        <v>117567</v>
      </c>
      <c r="M21" s="170">
        <f ca="1">+'Outlay % GSDP'!L22</f>
        <v>135536</v>
      </c>
      <c r="N21" s="158">
        <f t="shared" si="8"/>
        <v>7.5362282723817886</v>
      </c>
      <c r="O21" s="158">
        <f t="shared" si="9"/>
        <v>6.7583116775976571</v>
      </c>
      <c r="P21" s="158">
        <f t="shared" si="10"/>
        <v>9.5653623743225005</v>
      </c>
      <c r="Q21" s="158">
        <f t="shared" si="11"/>
        <v>9.640604931655993</v>
      </c>
      <c r="R21" s="158">
        <f t="shared" si="12"/>
        <v>11.560758765198914</v>
      </c>
      <c r="S21" s="244">
        <f t="shared" si="13"/>
        <v>9.0122532042313708</v>
      </c>
    </row>
    <row r="22" spans="1:19" ht="15.75">
      <c r="A22" s="165">
        <v>4</v>
      </c>
      <c r="B22" s="166" t="s">
        <v>30</v>
      </c>
      <c r="C22" s="166">
        <v>8485</v>
      </c>
      <c r="D22" s="170">
        <v>1265.0799999999972</v>
      </c>
      <c r="E22" s="170">
        <v>1623.8397699999996</v>
      </c>
      <c r="F22" s="170">
        <v>2229.3099999999995</v>
      </c>
      <c r="G22" s="170">
        <v>2442.8999999999996</v>
      </c>
      <c r="H22" s="170">
        <v>3290.0288999999993</v>
      </c>
      <c r="I22" s="170">
        <f ca="1">+'Outlay % GSDP'!H23</f>
        <v>19565</v>
      </c>
      <c r="J22" s="170">
        <f ca="1">+'Outlay % GSDP'!I23</f>
        <v>25414</v>
      </c>
      <c r="K22" s="170">
        <f ca="1">+'Outlay % GSDP'!J23</f>
        <v>29126</v>
      </c>
      <c r="L22" s="170">
        <f ca="1">+'Outlay % GSDP'!K23</f>
        <v>32563</v>
      </c>
      <c r="M22" s="170">
        <f ca="1">+'Outlay % GSDP'!L23</f>
        <v>44460</v>
      </c>
      <c r="N22" s="158">
        <f t="shared" si="8"/>
        <v>6.4660362892920888</v>
      </c>
      <c r="O22" s="158">
        <f t="shared" si="9"/>
        <v>6.3895481624301542</v>
      </c>
      <c r="P22" s="158">
        <f t="shared" si="10"/>
        <v>7.6540204628167254</v>
      </c>
      <c r="Q22" s="158">
        <f t="shared" si="11"/>
        <v>7.5020729048306354</v>
      </c>
      <c r="R22" s="158">
        <f t="shared" si="12"/>
        <v>7.3999750337381904</v>
      </c>
      <c r="S22" s="244">
        <f t="shared" si="13"/>
        <v>7.0823305706215596</v>
      </c>
    </row>
    <row r="23" spans="1:19" ht="15.75">
      <c r="A23" s="165">
        <v>5</v>
      </c>
      <c r="B23" s="166" t="s">
        <v>31</v>
      </c>
      <c r="C23" s="166">
        <v>106918</v>
      </c>
      <c r="D23" s="170">
        <v>15765.120000000006</v>
      </c>
      <c r="E23" s="170">
        <v>21940.82</v>
      </c>
      <c r="F23" s="170">
        <v>22582.169999999991</v>
      </c>
      <c r="G23" s="170">
        <v>27553.35</v>
      </c>
      <c r="H23" s="170">
        <v>39999.459399999992</v>
      </c>
      <c r="I23" s="170">
        <f ca="1">+'Outlay % GSDP'!H24</f>
        <v>329285</v>
      </c>
      <c r="J23" s="170">
        <f ca="1">+'Outlay % GSDP'!I24</f>
        <v>367912</v>
      </c>
      <c r="K23" s="170">
        <f ca="1">+'Outlay % GSDP'!J24</f>
        <v>427555</v>
      </c>
      <c r="L23" s="170">
        <f ca="1">+'Outlay % GSDP'!K24</f>
        <v>513173</v>
      </c>
      <c r="M23" s="170">
        <f ca="1">+'Outlay % GSDP'!L24</f>
        <v>586300.15250000008</v>
      </c>
      <c r="N23" s="158">
        <f t="shared" si="8"/>
        <v>4.7876824027817868</v>
      </c>
      <c r="O23" s="158">
        <f t="shared" si="9"/>
        <v>5.9636054273848087</v>
      </c>
      <c r="P23" s="158">
        <f t="shared" si="10"/>
        <v>5.2816994304826261</v>
      </c>
      <c r="Q23" s="158">
        <f t="shared" si="11"/>
        <v>5.3692127216357832</v>
      </c>
      <c r="R23" s="158">
        <f t="shared" si="12"/>
        <v>6.8223518669475336</v>
      </c>
      <c r="S23" s="244">
        <f t="shared" si="13"/>
        <v>5.6449103698465084</v>
      </c>
    </row>
    <row r="24" spans="1:19" ht="15.75">
      <c r="A24" s="165">
        <v>6</v>
      </c>
      <c r="B24" s="166" t="s">
        <v>32</v>
      </c>
      <c r="C24" s="166">
        <v>33374</v>
      </c>
      <c r="D24" s="170">
        <v>10709.6</v>
      </c>
      <c r="E24" s="170">
        <v>13849.01</v>
      </c>
      <c r="F24" s="170">
        <v>18922.329999999998</v>
      </c>
      <c r="G24" s="170">
        <v>15721.910000000002</v>
      </c>
      <c r="H24" s="170">
        <v>20128.63</v>
      </c>
      <c r="I24" s="170">
        <f ca="1">+'Outlay % GSDP'!H25</f>
        <v>151593</v>
      </c>
      <c r="J24" s="170">
        <f ca="1">+'Outlay % GSDP'!I25</f>
        <v>182481</v>
      </c>
      <c r="K24" s="170">
        <f ca="1">+'Outlay % GSDP'!J25</f>
        <v>223567</v>
      </c>
      <c r="L24" s="170">
        <f ca="1">+'Outlay % GSDP'!K25</f>
        <v>263975</v>
      </c>
      <c r="M24" s="170">
        <f ca="1">+'Outlay % GSDP'!L25</f>
        <v>308943</v>
      </c>
      <c r="N24" s="158">
        <f t="shared" si="8"/>
        <v>7.0647061539780873</v>
      </c>
      <c r="O24" s="158">
        <f t="shared" si="9"/>
        <v>7.5892887478696407</v>
      </c>
      <c r="P24" s="158">
        <f t="shared" si="10"/>
        <v>8.4638296349640143</v>
      </c>
      <c r="Q24" s="158">
        <f t="shared" si="11"/>
        <v>5.9558329387252584</v>
      </c>
      <c r="R24" s="158">
        <f t="shared" si="12"/>
        <v>6.5153215965404634</v>
      </c>
      <c r="S24" s="244">
        <f t="shared" si="13"/>
        <v>7.1177958144154925</v>
      </c>
    </row>
    <row r="25" spans="1:19" ht="15.75">
      <c r="A25" s="165">
        <v>7</v>
      </c>
      <c r="B25" s="166" t="s">
        <v>33</v>
      </c>
      <c r="C25" s="166">
        <v>40240</v>
      </c>
      <c r="D25" s="170">
        <v>5524.2900000000009</v>
      </c>
      <c r="E25" s="170">
        <v>6667.5299999999988</v>
      </c>
      <c r="F25" s="170">
        <v>6746.5899999999983</v>
      </c>
      <c r="G25" s="170">
        <v>8525.4261000000006</v>
      </c>
      <c r="H25" s="170">
        <v>15300.000000000004</v>
      </c>
      <c r="I25" s="170">
        <f ca="1">+'Outlay % GSDP'!H26</f>
        <v>83950</v>
      </c>
      <c r="J25" s="170">
        <f ca="1">+'Outlay % GSDP'!I26</f>
        <v>87794</v>
      </c>
      <c r="K25" s="170">
        <f ca="1">+'Outlay % GSDP'!J26</f>
        <v>100621</v>
      </c>
      <c r="L25" s="170">
        <f ca="1">+'Outlay % GSDP'!K26</f>
        <v>115535</v>
      </c>
      <c r="M25" s="170">
        <f ca="1">+'Outlay % GSDP'!L26</f>
        <v>130505</v>
      </c>
      <c r="N25" s="158">
        <f t="shared" si="8"/>
        <v>6.5804526503871363</v>
      </c>
      <c r="O25" s="158">
        <f t="shared" si="9"/>
        <v>7.5945167095701285</v>
      </c>
      <c r="P25" s="158">
        <f t="shared" si="10"/>
        <v>6.7049522465489302</v>
      </c>
      <c r="Q25" s="158">
        <f t="shared" si="11"/>
        <v>7.3790852122733366</v>
      </c>
      <c r="R25" s="158">
        <f t="shared" si="12"/>
        <v>11.723688747557567</v>
      </c>
      <c r="S25" s="244">
        <f t="shared" si="13"/>
        <v>7.9965391132674197</v>
      </c>
    </row>
    <row r="26" spans="1:19" ht="15.75">
      <c r="A26" s="165">
        <v>8</v>
      </c>
      <c r="B26" s="166" t="s">
        <v>34</v>
      </c>
      <c r="C26" s="166">
        <v>101664</v>
      </c>
      <c r="D26" s="170">
        <f>14594.13+2484.96</f>
        <v>17079.09</v>
      </c>
      <c r="E26" s="170">
        <f>18859.79+4165.59</f>
        <v>23025.38</v>
      </c>
      <c r="F26" s="170">
        <v>26956.226039590947</v>
      </c>
      <c r="G26" s="170">
        <v>31154.43054036202</v>
      </c>
      <c r="H26" s="170">
        <v>37613.322905854096</v>
      </c>
      <c r="I26" s="170">
        <f ca="1">+'Outlay % GSDP'!H27</f>
        <v>270629</v>
      </c>
      <c r="J26" s="170">
        <f ca="1">+'Outlay % GSDP'!I27</f>
        <v>310312</v>
      </c>
      <c r="K26" s="170">
        <f ca="1">+'Outlay % GSDP'!J27</f>
        <v>337516</v>
      </c>
      <c r="L26" s="170">
        <f ca="1">+'Outlay % GSDP'!K27</f>
        <v>399347</v>
      </c>
      <c r="M26" s="170">
        <f ca="1">+'Outlay % GSDP'!L27</f>
        <v>458903</v>
      </c>
      <c r="N26" s="158">
        <f t="shared" si="8"/>
        <v>6.3108868598708927</v>
      </c>
      <c r="O26" s="158">
        <f t="shared" si="9"/>
        <v>7.420073990048726</v>
      </c>
      <c r="P26" s="158">
        <f t="shared" si="10"/>
        <v>7.9866513112240449</v>
      </c>
      <c r="Q26" s="158">
        <f t="shared" si="11"/>
        <v>7.8013433280735862</v>
      </c>
      <c r="R26" s="158">
        <f t="shared" si="12"/>
        <v>8.1963558542554953</v>
      </c>
      <c r="S26" s="244">
        <f t="shared" si="13"/>
        <v>7.5430622686945483</v>
      </c>
    </row>
    <row r="27" spans="1:19" ht="15.75">
      <c r="A27" s="165">
        <v>9</v>
      </c>
      <c r="B27" s="166" t="s">
        <v>35</v>
      </c>
      <c r="C27" s="166">
        <v>41940</v>
      </c>
      <c r="D27" s="170">
        <v>5815.4100000000053</v>
      </c>
      <c r="E27" s="170">
        <v>6689.4826712999984</v>
      </c>
      <c r="F27" s="170">
        <v>8540.8400000000038</v>
      </c>
      <c r="G27" s="170">
        <v>9242.25</v>
      </c>
      <c r="H27" s="170">
        <v>9732.4312853446881</v>
      </c>
      <c r="I27" s="170">
        <f ca="1">+'Outlay % GSDP'!H28</f>
        <v>175141</v>
      </c>
      <c r="J27" s="170">
        <f ca="1">+'Outlay % GSDP'!I28</f>
        <v>202783</v>
      </c>
      <c r="K27" s="170">
        <f ca="1">+'Outlay % GSDP'!J28</f>
        <v>232381</v>
      </c>
      <c r="L27" s="170">
        <f ca="1">+'Outlay % GSDP'!K28</f>
        <v>276997</v>
      </c>
      <c r="M27" s="170">
        <f ca="1">+'Outlay % GSDP'!L28</f>
        <v>326693</v>
      </c>
      <c r="N27" s="158">
        <f t="shared" si="8"/>
        <v>3.320416121867527</v>
      </c>
      <c r="O27" s="158">
        <f t="shared" si="9"/>
        <v>3.2988380048130264</v>
      </c>
      <c r="P27" s="158">
        <f t="shared" si="10"/>
        <v>3.6753607222621483</v>
      </c>
      <c r="Q27" s="158">
        <f t="shared" si="11"/>
        <v>3.3365884829077568</v>
      </c>
      <c r="R27" s="158">
        <f t="shared" si="12"/>
        <v>2.9790755496275367</v>
      </c>
      <c r="S27" s="244">
        <f t="shared" si="13"/>
        <v>3.3220557762955991</v>
      </c>
    </row>
    <row r="28" spans="1:19" ht="15.75">
      <c r="A28" s="165">
        <v>10</v>
      </c>
      <c r="B28" s="166" t="s">
        <v>36</v>
      </c>
      <c r="C28" s="166">
        <v>70329</v>
      </c>
      <c r="D28" s="170">
        <v>10785.73</v>
      </c>
      <c r="E28" s="170">
        <v>11948.82</v>
      </c>
      <c r="F28" s="170">
        <v>14560.84</v>
      </c>
      <c r="G28" s="170">
        <v>18992.22</v>
      </c>
      <c r="H28" s="170">
        <v>28368.27</v>
      </c>
      <c r="I28" s="170">
        <f ca="1">+'Outlay % GSDP'!H29</f>
        <v>161479</v>
      </c>
      <c r="J28" s="170">
        <f ca="1">+'Outlay % GSDP'!I29</f>
        <v>197276</v>
      </c>
      <c r="K28" s="170">
        <f ca="1">+'Outlay % GSDP'!J29</f>
        <v>227984</v>
      </c>
      <c r="L28" s="170">
        <f ca="1">+'Outlay % GSDP'!K29</f>
        <v>260403</v>
      </c>
      <c r="M28" s="170">
        <f ca="1">+'Outlay % GSDP'!L29</f>
        <v>315387</v>
      </c>
      <c r="N28" s="158">
        <f t="shared" si="8"/>
        <v>6.6793391091101624</v>
      </c>
      <c r="O28" s="158">
        <f t="shared" si="9"/>
        <v>6.0569050467365511</v>
      </c>
      <c r="P28" s="158">
        <f t="shared" si="10"/>
        <v>6.386781528528318</v>
      </c>
      <c r="Q28" s="158">
        <f t="shared" si="11"/>
        <v>7.2933952373820583</v>
      </c>
      <c r="R28" s="158">
        <f t="shared" si="12"/>
        <v>8.9947493079930378</v>
      </c>
      <c r="S28" s="244">
        <f t="shared" si="13"/>
        <v>7.0822340459500257</v>
      </c>
    </row>
    <row r="29" spans="1:19" ht="15.75">
      <c r="A29" s="165">
        <v>11</v>
      </c>
      <c r="B29" s="166" t="s">
        <v>37</v>
      </c>
      <c r="C29" s="166">
        <v>127538</v>
      </c>
      <c r="D29" s="170">
        <v>18660.779999999984</v>
      </c>
      <c r="E29" s="170">
        <v>23292.369999999988</v>
      </c>
      <c r="F29" s="170">
        <v>29927.849999999984</v>
      </c>
      <c r="G29" s="170">
        <v>33057.07</v>
      </c>
      <c r="H29" s="170">
        <v>41999.999999999993</v>
      </c>
      <c r="I29" s="170">
        <f ca="1">+'Outlay % GSDP'!H30</f>
        <v>679004</v>
      </c>
      <c r="J29" s="170">
        <f ca="1">+'Outlay % GSDP'!I30</f>
        <v>756334</v>
      </c>
      <c r="K29" s="170">
        <f ca="1">+'Outlay % GSDP'!J30</f>
        <v>901330</v>
      </c>
      <c r="L29" s="170">
        <f ca="1">+'Outlay % GSDP'!K30</f>
        <v>1029621</v>
      </c>
      <c r="M29" s="170">
        <f ca="1">+'Outlay % GSDP'!L30</f>
        <v>1180302</v>
      </c>
      <c r="N29" s="158">
        <f t="shared" si="8"/>
        <v>2.7482577422224295</v>
      </c>
      <c r="O29" s="158">
        <f t="shared" si="9"/>
        <v>3.0796407407309454</v>
      </c>
      <c r="P29" s="158">
        <f t="shared" si="10"/>
        <v>3.3204098387937808</v>
      </c>
      <c r="Q29" s="158">
        <f t="shared" si="11"/>
        <v>3.2106056500401605</v>
      </c>
      <c r="R29" s="158">
        <f t="shared" si="12"/>
        <v>3.5584113218481366</v>
      </c>
      <c r="S29" s="244">
        <f t="shared" si="13"/>
        <v>3.1834650587270907</v>
      </c>
    </row>
    <row r="30" spans="1:19" ht="15.75">
      <c r="A30" s="165">
        <v>12</v>
      </c>
      <c r="B30" s="166" t="s">
        <v>104</v>
      </c>
      <c r="C30" s="166">
        <v>32225</v>
      </c>
      <c r="D30" s="170">
        <v>5950.59</v>
      </c>
      <c r="E30" s="170">
        <v>7799.54</v>
      </c>
      <c r="F30" s="170">
        <v>9404.35</v>
      </c>
      <c r="G30" s="170">
        <v>11237.9</v>
      </c>
      <c r="H30" s="170">
        <v>15200</v>
      </c>
      <c r="I30" s="170">
        <f ca="1">+'Outlay % GSDP'!H31</f>
        <v>129274</v>
      </c>
      <c r="J30" s="170">
        <f ca="1">+'Outlay % GSDP'!I31</f>
        <v>148491</v>
      </c>
      <c r="K30" s="170">
        <f ca="1">+'Outlay % GSDP'!J31</f>
        <v>163727</v>
      </c>
      <c r="L30" s="170">
        <f ca="1">+'Outlay % GSDP'!K31</f>
        <v>195028</v>
      </c>
      <c r="M30" s="170">
        <f ca="1">+'Outlay % GSDP'!L31</f>
        <v>226236</v>
      </c>
      <c r="N30" s="158">
        <f t="shared" si="8"/>
        <v>4.6030833733001222</v>
      </c>
      <c r="O30" s="158">
        <f t="shared" si="9"/>
        <v>5.2525338235987364</v>
      </c>
      <c r="P30" s="158">
        <f t="shared" si="10"/>
        <v>5.7439212836001392</v>
      </c>
      <c r="Q30" s="158">
        <f t="shared" si="11"/>
        <v>5.7621982484566319</v>
      </c>
      <c r="R30" s="158">
        <f t="shared" si="12"/>
        <v>6.7186477837302636</v>
      </c>
      <c r="S30" s="244">
        <f t="shared" si="13"/>
        <v>5.6160769025371788</v>
      </c>
    </row>
    <row r="31" spans="1:19" ht="15.75">
      <c r="A31" s="165">
        <v>13</v>
      </c>
      <c r="B31" s="166" t="s">
        <v>39</v>
      </c>
      <c r="C31" s="166">
        <v>28923</v>
      </c>
      <c r="D31" s="170">
        <v>5099.6099999999979</v>
      </c>
      <c r="E31" s="170">
        <v>6623.9100000000017</v>
      </c>
      <c r="F31" s="170">
        <v>4698.6100000000033</v>
      </c>
      <c r="G31" s="170">
        <v>7631.0099999999966</v>
      </c>
      <c r="H31" s="170">
        <v>7045.0000000000009</v>
      </c>
      <c r="I31" s="170">
        <f ca="1">+'Outlay % GSDP'!H32</f>
        <v>152245</v>
      </c>
      <c r="J31" s="170">
        <f ca="1">+'Outlay % GSDP'!I32</f>
        <v>174039</v>
      </c>
      <c r="K31" s="170">
        <f ca="1">+'Outlay % GSDP'!J32</f>
        <v>198393</v>
      </c>
      <c r="L31" s="170">
        <f ca="1">+'Outlay % GSDP'!K32</f>
        <v>224975</v>
      </c>
      <c r="M31" s="170">
        <f ca="1">+'Outlay % GSDP'!L32</f>
        <v>248301</v>
      </c>
      <c r="N31" s="158">
        <f t="shared" si="8"/>
        <v>3.3496075404775185</v>
      </c>
      <c r="O31" s="158">
        <f t="shared" si="9"/>
        <v>3.8059917604674824</v>
      </c>
      <c r="P31" s="158">
        <f t="shared" si="10"/>
        <v>2.3683345682559382</v>
      </c>
      <c r="Q31" s="158">
        <f t="shared" si="11"/>
        <v>3.391936881875762</v>
      </c>
      <c r="R31" s="158">
        <f t="shared" si="12"/>
        <v>2.8372821696247703</v>
      </c>
      <c r="S31" s="244">
        <f t="shared" si="13"/>
        <v>3.150630584140294</v>
      </c>
    </row>
    <row r="32" spans="1:19" ht="15.75">
      <c r="A32" s="165">
        <v>14</v>
      </c>
      <c r="B32" s="166" t="s">
        <v>40</v>
      </c>
      <c r="C32" s="166">
        <v>71732</v>
      </c>
      <c r="D32" s="170">
        <v>12636.150000000007</v>
      </c>
      <c r="E32" s="170">
        <v>14555.99</v>
      </c>
      <c r="F32" s="170">
        <v>17961.330000000002</v>
      </c>
      <c r="G32" s="170">
        <v>21676.859999999997</v>
      </c>
      <c r="H32" s="170">
        <v>27896.519999999997</v>
      </c>
      <c r="I32" s="170">
        <f ca="1">+'Outlay % GSDP'!H33</f>
        <v>194822</v>
      </c>
      <c r="J32" s="170">
        <f ca="1">+'Outlay % GSDP'!I33</f>
        <v>230949</v>
      </c>
      <c r="K32" s="170">
        <f ca="1">+'Outlay % GSDP'!J33</f>
        <v>263258</v>
      </c>
      <c r="L32" s="170">
        <f ca="1">+'Outlay % GSDP'!K33</f>
        <v>323682</v>
      </c>
      <c r="M32" s="170">
        <f ca="1">+'Outlay % GSDP'!L33</f>
        <v>368320</v>
      </c>
      <c r="N32" s="158">
        <f t="shared" si="8"/>
        <v>6.485997474617859</v>
      </c>
      <c r="O32" s="158">
        <f t="shared" si="9"/>
        <v>6.3026858743705327</v>
      </c>
      <c r="P32" s="158">
        <f t="shared" si="10"/>
        <v>6.8227100411003665</v>
      </c>
      <c r="Q32" s="158">
        <f t="shared" si="11"/>
        <v>6.6969618329100769</v>
      </c>
      <c r="R32" s="158">
        <f t="shared" si="12"/>
        <v>7.5739900086880958</v>
      </c>
      <c r="S32" s="244">
        <f t="shared" si="13"/>
        <v>6.7764690463373851</v>
      </c>
    </row>
    <row r="33" spans="1:19" ht="15.75">
      <c r="A33" s="165">
        <v>15</v>
      </c>
      <c r="B33" s="166" t="s">
        <v>41</v>
      </c>
      <c r="C33" s="166">
        <v>85344</v>
      </c>
      <c r="D33" s="170">
        <v>14224.3223</v>
      </c>
      <c r="E33" s="170">
        <v>16275.1</v>
      </c>
      <c r="F33" s="170">
        <v>17833.52</v>
      </c>
      <c r="G33" s="170">
        <v>20464.77</v>
      </c>
      <c r="H33" s="170">
        <v>23534.999999999996</v>
      </c>
      <c r="I33" s="170">
        <f ca="1">+'Outlay % GSDP'!H34</f>
        <v>350819</v>
      </c>
      <c r="J33" s="170">
        <f ca="1">+'Outlay % GSDP'!I34</f>
        <v>401336</v>
      </c>
      <c r="K33" s="170">
        <f ca="1">+'Outlay % GSDP'!J34</f>
        <v>479720</v>
      </c>
      <c r="L33" s="170">
        <f ca="1">+'Outlay % GSDP'!K34</f>
        <v>566422</v>
      </c>
      <c r="M33" s="170">
        <f ca="1">+'Outlay % GSDP'!L34</f>
        <v>639025</v>
      </c>
      <c r="N33" s="158">
        <f t="shared" si="8"/>
        <v>4.0546043116250834</v>
      </c>
      <c r="O33" s="158">
        <f t="shared" si="9"/>
        <v>4.0552305300297009</v>
      </c>
      <c r="P33" s="158">
        <f t="shared" si="10"/>
        <v>3.717485199699825</v>
      </c>
      <c r="Q33" s="158">
        <f t="shared" si="11"/>
        <v>3.612989961548104</v>
      </c>
      <c r="R33" s="158">
        <f t="shared" si="12"/>
        <v>3.6829545009976128</v>
      </c>
      <c r="S33" s="244">
        <f t="shared" si="13"/>
        <v>3.8246529007800651</v>
      </c>
    </row>
    <row r="34" spans="1:19" ht="15.75">
      <c r="A34" s="165">
        <v>16</v>
      </c>
      <c r="B34" s="166" t="s">
        <v>42</v>
      </c>
      <c r="C34" s="166">
        <v>181094</v>
      </c>
      <c r="D34" s="170">
        <v>25249.019999999997</v>
      </c>
      <c r="E34" s="170">
        <v>34798.050000000003</v>
      </c>
      <c r="F34" s="170">
        <v>33591.229999999996</v>
      </c>
      <c r="G34" s="170">
        <v>38432.130000000005</v>
      </c>
      <c r="H34" s="170">
        <v>47000</v>
      </c>
      <c r="I34" s="170">
        <f ca="1">+'Outlay % GSDP'!H35</f>
        <v>383026</v>
      </c>
      <c r="J34" s="170">
        <f ca="1">+'Outlay % GSDP'!I35</f>
        <v>444685</v>
      </c>
      <c r="K34" s="170">
        <f ca="1">+'Outlay % GSDP'!J35</f>
        <v>523193</v>
      </c>
      <c r="L34" s="170">
        <f ca="1">+'Outlay % GSDP'!K35</f>
        <v>605219</v>
      </c>
      <c r="M34" s="170">
        <f ca="1">+'Outlay % GSDP'!L35</f>
        <v>687836</v>
      </c>
      <c r="N34" s="158">
        <f t="shared" si="8"/>
        <v>6.5919859226266615</v>
      </c>
      <c r="O34" s="158">
        <f t="shared" si="9"/>
        <v>7.8253257924148558</v>
      </c>
      <c r="P34" s="158">
        <f t="shared" si="10"/>
        <v>6.4204280256043171</v>
      </c>
      <c r="Q34" s="158">
        <f t="shared" si="11"/>
        <v>6.3501195435040874</v>
      </c>
      <c r="R34" s="158">
        <f t="shared" si="12"/>
        <v>6.8330241511057865</v>
      </c>
      <c r="S34" s="244">
        <f t="shared" si="13"/>
        <v>6.8041766870511422</v>
      </c>
    </row>
    <row r="35" spans="1:19" ht="15.75">
      <c r="A35" s="165">
        <v>17</v>
      </c>
      <c r="B35" s="166" t="s">
        <v>43</v>
      </c>
      <c r="C35" s="166">
        <v>63779</v>
      </c>
      <c r="D35" s="170">
        <v>7355.0599999999995</v>
      </c>
      <c r="E35" s="170">
        <v>8752.529999999997</v>
      </c>
      <c r="F35" s="170">
        <v>12223.129999999997</v>
      </c>
      <c r="G35" s="170">
        <v>13696.740000000002</v>
      </c>
      <c r="H35" s="170">
        <v>22214.000000000004</v>
      </c>
      <c r="I35" s="170">
        <f ca="1">+'Outlay % GSDP'!H36</f>
        <v>299483</v>
      </c>
      <c r="J35" s="170">
        <f ca="1">+'Outlay % GSDP'!I36</f>
        <v>341942</v>
      </c>
      <c r="K35" s="170">
        <f ca="1">+'Outlay % GSDP'!J36</f>
        <v>398933</v>
      </c>
      <c r="L35" s="170">
        <f ca="1">+'Outlay % GSDP'!K36</f>
        <v>467421</v>
      </c>
      <c r="M35" s="170">
        <f ca="1">+'Outlay % GSDP'!L36</f>
        <v>541586</v>
      </c>
      <c r="N35" s="158">
        <f t="shared" si="8"/>
        <v>2.4559190338015844</v>
      </c>
      <c r="O35" s="158">
        <f t="shared" si="9"/>
        <v>2.5596533915108401</v>
      </c>
      <c r="P35" s="158">
        <f t="shared" si="10"/>
        <v>3.0639556015671801</v>
      </c>
      <c r="Q35" s="158">
        <f t="shared" si="11"/>
        <v>2.930279127381954</v>
      </c>
      <c r="R35" s="158">
        <f t="shared" si="12"/>
        <v>4.1016569852248779</v>
      </c>
      <c r="S35" s="244">
        <f t="shared" si="13"/>
        <v>3.0222928278972874</v>
      </c>
    </row>
    <row r="36" spans="1:19" s="160" customFormat="1">
      <c r="A36" s="163"/>
      <c r="B36" s="164" t="s">
        <v>139</v>
      </c>
      <c r="C36" s="159">
        <f t="shared" ref="C36:M36" si="14">SUM(C19:C35)</f>
        <v>1255341</v>
      </c>
      <c r="D36" s="169">
        <f t="shared" si="14"/>
        <v>199782.37229999996</v>
      </c>
      <c r="E36" s="169">
        <f t="shared" si="14"/>
        <v>248718.78244130002</v>
      </c>
      <c r="F36" s="169">
        <f t="shared" si="14"/>
        <v>281464.8560395909</v>
      </c>
      <c r="G36" s="169">
        <f t="shared" si="14"/>
        <v>322068.11664036202</v>
      </c>
      <c r="H36" s="169">
        <f t="shared" si="14"/>
        <v>417335.08880819875</v>
      </c>
      <c r="I36" s="169">
        <f t="shared" si="14"/>
        <v>3939063</v>
      </c>
      <c r="J36" s="169">
        <f t="shared" si="14"/>
        <v>4537764</v>
      </c>
      <c r="K36" s="169">
        <f t="shared" si="14"/>
        <v>5260777</v>
      </c>
      <c r="L36" s="169">
        <f t="shared" si="14"/>
        <v>6182747</v>
      </c>
      <c r="M36" s="169">
        <f t="shared" si="14"/>
        <v>7126825.1524999999</v>
      </c>
      <c r="N36" s="159">
        <f>D36/I36*100</f>
        <v>5.0718247537548899</v>
      </c>
      <c r="O36" s="159">
        <f t="shared" si="9"/>
        <v>5.48108677404334</v>
      </c>
      <c r="P36" s="159">
        <f t="shared" si="10"/>
        <v>5.3502525585021168</v>
      </c>
      <c r="Q36" s="159">
        <f t="shared" si="11"/>
        <v>5.209142742544083</v>
      </c>
      <c r="R36" s="159">
        <f t="shared" si="12"/>
        <v>5.8558345389153104</v>
      </c>
      <c r="S36" s="244">
        <f t="shared" si="13"/>
        <v>5.3936282735519487</v>
      </c>
    </row>
    <row r="37" spans="1:19" s="160" customFormat="1">
      <c r="A37" s="163"/>
      <c r="B37" s="164" t="s">
        <v>144</v>
      </c>
      <c r="C37" s="159">
        <f t="shared" ref="C37:M37" si="15">C36+C17</f>
        <v>1412029</v>
      </c>
      <c r="D37" s="169">
        <f t="shared" si="15"/>
        <v>223508.01229071763</v>
      </c>
      <c r="E37" s="169">
        <f t="shared" si="15"/>
        <v>276451.66335776518</v>
      </c>
      <c r="F37" s="169">
        <f t="shared" si="15"/>
        <v>311666.53213959088</v>
      </c>
      <c r="G37" s="169">
        <f t="shared" si="15"/>
        <v>355968.273240362</v>
      </c>
      <c r="H37" s="169">
        <f t="shared" si="15"/>
        <v>456525.83913321007</v>
      </c>
      <c r="I37" s="169">
        <f t="shared" si="15"/>
        <v>4174579</v>
      </c>
      <c r="J37" s="169">
        <f t="shared" si="15"/>
        <v>4814179</v>
      </c>
      <c r="K37" s="169">
        <f t="shared" si="15"/>
        <v>5586296</v>
      </c>
      <c r="L37" s="169">
        <f t="shared" si="15"/>
        <v>6554084</v>
      </c>
      <c r="M37" s="169">
        <f t="shared" si="15"/>
        <v>7546725.9814999998</v>
      </c>
      <c r="N37" s="159">
        <f t="shared" ref="N37:N42" si="16">D37/I37*100</f>
        <v>5.3540252152544632</v>
      </c>
      <c r="O37" s="159">
        <f t="shared" ref="O37:O42" si="17">E37/J37*100</f>
        <v>5.7424467049888506</v>
      </c>
      <c r="P37" s="159">
        <f t="shared" ref="P37:P42" si="18">F37/K37*100</f>
        <v>5.5791267082802429</v>
      </c>
      <c r="Q37" s="159">
        <f t="shared" ref="Q37:Q42" si="19">G37/L37*100</f>
        <v>5.4312436831807771</v>
      </c>
      <c r="R37" s="159">
        <f t="shared" ref="R37:R42" si="20">H37/M37*100</f>
        <v>6.0493231137891437</v>
      </c>
      <c r="S37" s="244">
        <f t="shared" si="13"/>
        <v>5.6312330850986951</v>
      </c>
    </row>
    <row r="38" spans="1:19" s="160" customFormat="1">
      <c r="A38" s="163" t="s">
        <v>271</v>
      </c>
      <c r="B38" s="164" t="s">
        <v>273</v>
      </c>
      <c r="C38" s="15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59"/>
      <c r="O38" s="159"/>
      <c r="P38" s="159"/>
      <c r="Q38" s="159"/>
      <c r="R38" s="159"/>
      <c r="S38" s="244"/>
    </row>
    <row r="39" spans="1:19" ht="15" customHeight="1">
      <c r="A39" s="165">
        <v>1</v>
      </c>
      <c r="B39" s="166" t="s">
        <v>145</v>
      </c>
      <c r="C39" s="213">
        <v>54799</v>
      </c>
      <c r="D39" s="170">
        <v>8747.427099999999</v>
      </c>
      <c r="E39" s="170">
        <v>9619.5153000000009</v>
      </c>
      <c r="F39" s="170">
        <v>11048.1445</v>
      </c>
      <c r="G39" s="170">
        <v>11400</v>
      </c>
      <c r="H39" s="170">
        <v>15133</v>
      </c>
      <c r="I39" s="170">
        <f ca="1">+'Outlay % GSDP'!H42</f>
        <v>157947</v>
      </c>
      <c r="J39" s="170">
        <f ca="1">+'Outlay % GSDP'!I42</f>
        <v>189533</v>
      </c>
      <c r="K39" s="170">
        <f ca="1">+'Outlay % GSDP'!J42</f>
        <v>223759</v>
      </c>
      <c r="L39" s="170">
        <f ca="1">+'Outlay % GSDP'!K42</f>
        <v>264496</v>
      </c>
      <c r="M39" s="170">
        <f ca="1">+'Outlay % GSDP'!L42</f>
        <v>313934</v>
      </c>
      <c r="N39" s="158">
        <f t="shared" si="16"/>
        <v>5.53820401780344</v>
      </c>
      <c r="O39" s="158">
        <f t="shared" si="17"/>
        <v>5.0753775332000233</v>
      </c>
      <c r="P39" s="158">
        <f t="shared" si="18"/>
        <v>4.9375196081498398</v>
      </c>
      <c r="Q39" s="158">
        <f t="shared" si="19"/>
        <v>4.3100840844474018</v>
      </c>
      <c r="R39" s="158">
        <f t="shared" si="20"/>
        <v>4.8204399650882035</v>
      </c>
      <c r="S39" s="244">
        <f t="shared" si="13"/>
        <v>4.9363250417377813</v>
      </c>
    </row>
    <row r="40" spans="1:19" ht="15.75" customHeight="1">
      <c r="A40" s="165">
        <v>2</v>
      </c>
      <c r="B40" s="166" t="s">
        <v>47</v>
      </c>
      <c r="C40" s="213">
        <v>10787</v>
      </c>
      <c r="D40" s="170">
        <v>1086.7253000000001</v>
      </c>
      <c r="E40" s="170">
        <v>1060.7583999999999</v>
      </c>
      <c r="F40" s="170">
        <v>1449.9279999999999</v>
      </c>
      <c r="G40" s="170">
        <v>1562.5</v>
      </c>
      <c r="H40" s="170">
        <v>1785</v>
      </c>
      <c r="I40" s="170">
        <f ca="1">+'Outlay % GSDP'!H43</f>
        <v>9251</v>
      </c>
      <c r="J40" s="170">
        <f ca="1">+'Outlay % GSDP'!I43</f>
        <v>10050</v>
      </c>
      <c r="K40" s="170">
        <f ca="1">+'Outlay % GSDP'!J43</f>
        <v>11344</v>
      </c>
      <c r="L40" s="170">
        <f ca="1">+'Outlay % GSDP'!K43</f>
        <v>12929</v>
      </c>
      <c r="M40" s="170">
        <f ca="1">+'Outlay % GSDP'!L43</f>
        <v>13724</v>
      </c>
      <c r="N40" s="158">
        <f t="shared" si="16"/>
        <v>11.747111663603937</v>
      </c>
      <c r="O40" s="158">
        <f t="shared" si="17"/>
        <v>10.554809950248757</v>
      </c>
      <c r="P40" s="158">
        <f t="shared" si="18"/>
        <v>12.78145275035261</v>
      </c>
      <c r="Q40" s="158">
        <f t="shared" si="19"/>
        <v>12.08523474359966</v>
      </c>
      <c r="R40" s="158">
        <f t="shared" si="20"/>
        <v>13.006412124744973</v>
      </c>
      <c r="S40" s="244">
        <f t="shared" si="13"/>
        <v>12.035004246509985</v>
      </c>
    </row>
    <row r="41" spans="1:19" s="160" customFormat="1">
      <c r="A41" s="209">
        <v>8</v>
      </c>
      <c r="B41" s="167" t="s">
        <v>146</v>
      </c>
      <c r="C41" s="159">
        <f t="shared" ref="C41:H41" si="21">C39+C40</f>
        <v>65586</v>
      </c>
      <c r="D41" s="169">
        <f t="shared" si="21"/>
        <v>9834.152399999999</v>
      </c>
      <c r="E41" s="169">
        <f t="shared" si="21"/>
        <v>10680.273700000002</v>
      </c>
      <c r="F41" s="169">
        <f t="shared" si="21"/>
        <v>12498.0725</v>
      </c>
      <c r="G41" s="169">
        <f t="shared" si="21"/>
        <v>12962.5</v>
      </c>
      <c r="H41" s="169">
        <f t="shared" si="21"/>
        <v>16918</v>
      </c>
      <c r="I41" s="169">
        <f>I39+I40</f>
        <v>167198</v>
      </c>
      <c r="J41" s="169">
        <f>J39+J40</f>
        <v>199583</v>
      </c>
      <c r="K41" s="169">
        <f>K39+K40</f>
        <v>235103</v>
      </c>
      <c r="L41" s="169">
        <f>L39+L40</f>
        <v>277425</v>
      </c>
      <c r="M41" s="169">
        <f>M39+M40</f>
        <v>327658</v>
      </c>
      <c r="N41" s="159">
        <f t="shared" si="16"/>
        <v>5.8817404514408063</v>
      </c>
      <c r="O41" s="159">
        <f t="shared" si="17"/>
        <v>5.3512942986126077</v>
      </c>
      <c r="P41" s="159">
        <f t="shared" si="18"/>
        <v>5.3159987324704492</v>
      </c>
      <c r="Q41" s="159">
        <f t="shared" si="19"/>
        <v>4.6724339911687851</v>
      </c>
      <c r="R41" s="159">
        <f t="shared" si="20"/>
        <v>5.1633105249986269</v>
      </c>
      <c r="S41" s="244">
        <f t="shared" si="13"/>
        <v>5.2769555997382538</v>
      </c>
    </row>
    <row r="42" spans="1:19" s="160" customFormat="1" ht="31.5" customHeight="1">
      <c r="A42" s="538" t="s">
        <v>274</v>
      </c>
      <c r="B42" s="539"/>
      <c r="C42" s="159">
        <f t="shared" ref="C42:M42" si="22">C36+C17+C41</f>
        <v>1477615</v>
      </c>
      <c r="D42" s="169">
        <f t="shared" si="22"/>
        <v>233342.16469071762</v>
      </c>
      <c r="E42" s="169">
        <f t="shared" si="22"/>
        <v>287131.9370577652</v>
      </c>
      <c r="F42" s="169">
        <f t="shared" si="22"/>
        <v>324164.60463959089</v>
      </c>
      <c r="G42" s="169">
        <f t="shared" si="22"/>
        <v>368930.773240362</v>
      </c>
      <c r="H42" s="169">
        <f t="shared" si="22"/>
        <v>473443.83913321007</v>
      </c>
      <c r="I42" s="169">
        <f t="shared" si="22"/>
        <v>4341777</v>
      </c>
      <c r="J42" s="169">
        <f t="shared" si="22"/>
        <v>5013762</v>
      </c>
      <c r="K42" s="169">
        <f t="shared" si="22"/>
        <v>5821399</v>
      </c>
      <c r="L42" s="169">
        <f t="shared" si="22"/>
        <v>6831509</v>
      </c>
      <c r="M42" s="169">
        <f t="shared" si="22"/>
        <v>7874383.9814999998</v>
      </c>
      <c r="N42" s="159">
        <f t="shared" si="16"/>
        <v>5.3743470632120811</v>
      </c>
      <c r="O42" s="159">
        <f t="shared" si="17"/>
        <v>5.7268760874123101</v>
      </c>
      <c r="P42" s="159">
        <f t="shared" si="18"/>
        <v>5.5685000227538239</v>
      </c>
      <c r="Q42" s="159">
        <f t="shared" si="19"/>
        <v>5.4004287082160323</v>
      </c>
      <c r="R42" s="159">
        <f t="shared" si="20"/>
        <v>6.0124555805954394</v>
      </c>
      <c r="S42" s="244">
        <f t="shared" si="13"/>
        <v>5.6165214924379381</v>
      </c>
    </row>
    <row r="43" spans="1:19" ht="18" customHeight="1">
      <c r="B43" s="535" t="s">
        <v>170</v>
      </c>
      <c r="C43" s="535"/>
      <c r="D43" s="535"/>
      <c r="E43" s="535"/>
      <c r="F43" s="535"/>
      <c r="G43" s="535"/>
      <c r="H43" s="535"/>
      <c r="I43" s="171"/>
      <c r="J43" s="171"/>
      <c r="K43" s="171"/>
      <c r="L43" s="171"/>
      <c r="M43" s="171"/>
    </row>
  </sheetData>
  <mergeCells count="8">
    <mergeCell ref="B43:H43"/>
    <mergeCell ref="N2:S2"/>
    <mergeCell ref="A1:R1"/>
    <mergeCell ref="A2:A3"/>
    <mergeCell ref="B2:B3"/>
    <mergeCell ref="D2:H2"/>
    <mergeCell ref="I2:M2"/>
    <mergeCell ref="A42:B42"/>
  </mergeCells>
  <phoneticPr fontId="63" type="noConversion"/>
  <printOptions horizontalCentered="1"/>
  <pageMargins left="0.23622047244094499" right="0.27559055118110198" top="0.78740157480314998" bottom="0.78740157480314998" header="0.511811023622047" footer="0.511811023622047"/>
  <pageSetup paperSize="9" scale="65" orientation="landscape" horizontalDpi="4294967295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46"/>
  <sheetViews>
    <sheetView view="pageBreakPreview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5.28515625" style="150" customWidth="1"/>
    <col min="2" max="2" width="33.5703125" style="147" bestFit="1" customWidth="1"/>
    <col min="3" max="14" width="12.140625" style="147" customWidth="1"/>
    <col min="15" max="16384" width="9.140625" style="147"/>
  </cols>
  <sheetData>
    <row r="1" spans="1:14" ht="27.75" customHeight="1">
      <c r="A1" s="536" t="s">
        <v>179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257" t="s">
        <v>128</v>
      </c>
    </row>
    <row r="2" spans="1:14" ht="15.75" customHeight="1">
      <c r="A2" s="542" t="s">
        <v>99</v>
      </c>
      <c r="B2" s="544" t="s">
        <v>129</v>
      </c>
      <c r="C2" s="540" t="s">
        <v>149</v>
      </c>
      <c r="D2" s="540"/>
      <c r="E2" s="540"/>
      <c r="F2" s="540"/>
      <c r="G2" s="540"/>
      <c r="H2" s="540"/>
      <c r="I2" s="540" t="s">
        <v>150</v>
      </c>
      <c r="J2" s="540"/>
      <c r="K2" s="540"/>
      <c r="L2" s="540"/>
      <c r="M2" s="540"/>
      <c r="N2" s="540"/>
    </row>
    <row r="3" spans="1:14">
      <c r="A3" s="543"/>
      <c r="B3" s="544"/>
      <c r="C3" s="172" t="s">
        <v>55</v>
      </c>
      <c r="D3" s="172" t="s">
        <v>56</v>
      </c>
      <c r="E3" s="172" t="s">
        <v>7</v>
      </c>
      <c r="F3" s="172" t="s">
        <v>8</v>
      </c>
      <c r="G3" s="172" t="s">
        <v>9</v>
      </c>
      <c r="H3" s="245" t="s">
        <v>130</v>
      </c>
      <c r="I3" s="172" t="s">
        <v>55</v>
      </c>
      <c r="J3" s="172" t="s">
        <v>56</v>
      </c>
      <c r="K3" s="172" t="s">
        <v>7</v>
      </c>
      <c r="L3" s="172" t="s">
        <v>8</v>
      </c>
      <c r="M3" s="172" t="s">
        <v>9</v>
      </c>
      <c r="N3" s="248" t="s">
        <v>130</v>
      </c>
    </row>
    <row r="4" spans="1:14" ht="24">
      <c r="A4" s="543"/>
      <c r="B4" s="544"/>
      <c r="C4" s="172" t="s">
        <v>10</v>
      </c>
      <c r="D4" s="172" t="s">
        <v>10</v>
      </c>
      <c r="E4" s="172" t="s">
        <v>10</v>
      </c>
      <c r="F4" s="172" t="s">
        <v>133</v>
      </c>
      <c r="G4" s="172" t="s">
        <v>134</v>
      </c>
      <c r="H4" s="245" t="s">
        <v>174</v>
      </c>
      <c r="I4" s="172" t="s">
        <v>10</v>
      </c>
      <c r="J4" s="172" t="s">
        <v>10</v>
      </c>
      <c r="K4" s="172" t="s">
        <v>10</v>
      </c>
      <c r="L4" s="172" t="s">
        <v>134</v>
      </c>
      <c r="M4" s="172" t="s">
        <v>135</v>
      </c>
      <c r="N4" s="248" t="s">
        <v>174</v>
      </c>
    </row>
    <row r="5" spans="1:14" ht="15.75">
      <c r="A5" s="415" t="s">
        <v>137</v>
      </c>
      <c r="B5" s="179" t="s">
        <v>141</v>
      </c>
      <c r="C5" s="214"/>
      <c r="D5" s="214"/>
      <c r="E5" s="214"/>
      <c r="F5" s="215"/>
      <c r="G5" s="214"/>
      <c r="H5" s="246"/>
      <c r="I5" s="214"/>
      <c r="J5" s="214"/>
      <c r="K5" s="214"/>
      <c r="L5" s="214"/>
      <c r="M5" s="214"/>
      <c r="N5" s="249"/>
    </row>
    <row r="6" spans="1:14" ht="15.75">
      <c r="A6" s="145">
        <v>1</v>
      </c>
      <c r="B6" s="180" t="s">
        <v>14</v>
      </c>
      <c r="C6" s="214">
        <v>75.490000000000236</v>
      </c>
      <c r="D6" s="214">
        <v>-66.510000000000005</v>
      </c>
      <c r="E6" s="214">
        <v>-931.75</v>
      </c>
      <c r="F6" s="214">
        <v>-300.36</v>
      </c>
      <c r="G6" s="214">
        <v>-749.87</v>
      </c>
      <c r="H6" s="246">
        <f t="shared" ref="H6:H17" si="0">+SUM(C6:G6)</f>
        <v>-1972.9999999999995</v>
      </c>
      <c r="I6" s="214">
        <f t="shared" ref="I6:I16" si="1">+C6/C$45</f>
        <v>71.381113626005984</v>
      </c>
      <c r="J6" s="214">
        <f t="shared" ref="J6:J16" si="2">+D6/D$45</f>
        <v>-57.875210935591674</v>
      </c>
      <c r="K6" s="214">
        <f t="shared" ref="K6:K16" si="3">+E6/E$45</f>
        <v>-765.14634720180743</v>
      </c>
      <c r="L6" s="214">
        <f t="shared" ref="L6:L16" si="4">+F6/F$45</f>
        <v>-227.37108269107028</v>
      </c>
      <c r="M6" s="214">
        <f t="shared" ref="M6:M16" si="5">+G6/G$45</f>
        <v>-525.63014708260903</v>
      </c>
      <c r="N6" s="249">
        <f t="shared" ref="N6:N16" si="6">+SUM(I6:M6)</f>
        <v>-1504.6416742850724</v>
      </c>
    </row>
    <row r="7" spans="1:14" ht="15.75">
      <c r="A7" s="145">
        <v>2</v>
      </c>
      <c r="B7" s="180" t="s">
        <v>15</v>
      </c>
      <c r="C7" s="214">
        <v>331.05999999999767</v>
      </c>
      <c r="D7" s="214">
        <v>1241.58</v>
      </c>
      <c r="E7" s="214">
        <v>-1588.59</v>
      </c>
      <c r="F7" s="214">
        <v>-3609.6399999999994</v>
      </c>
      <c r="G7" s="214">
        <v>-3400.3705680000021</v>
      </c>
      <c r="H7" s="246">
        <f t="shared" si="0"/>
        <v>-7025.9605680000041</v>
      </c>
      <c r="I7" s="214">
        <f t="shared" si="1"/>
        <v>313.04055473606172</v>
      </c>
      <c r="J7" s="214">
        <f t="shared" si="2"/>
        <v>1080.3894811819562</v>
      </c>
      <c r="K7" s="214">
        <f t="shared" si="3"/>
        <v>-1304.538594796157</v>
      </c>
      <c r="L7" s="214">
        <f t="shared" si="4"/>
        <v>-2732.4802068351137</v>
      </c>
      <c r="M7" s="214">
        <f t="shared" si="5"/>
        <v>-2383.5295208412335</v>
      </c>
      <c r="N7" s="249">
        <f t="shared" si="6"/>
        <v>-5027.1182865544861</v>
      </c>
    </row>
    <row r="8" spans="1:14" ht="15.75">
      <c r="A8" s="145">
        <v>3</v>
      </c>
      <c r="B8" s="180" t="s">
        <v>16</v>
      </c>
      <c r="C8" s="214">
        <v>-170.99</v>
      </c>
      <c r="D8" s="214">
        <v>-1476.82</v>
      </c>
      <c r="E8" s="214">
        <v>-1960.46</v>
      </c>
      <c r="F8" s="215">
        <v>-1945.76</v>
      </c>
      <c r="G8" s="214">
        <v>-2442.8000000000002</v>
      </c>
      <c r="H8" s="246">
        <f t="shared" si="0"/>
        <v>-7996.83</v>
      </c>
      <c r="I8" s="214">
        <f t="shared" si="1"/>
        <v>-161.68309205074482</v>
      </c>
      <c r="J8" s="214">
        <f t="shared" si="2"/>
        <v>-1285.0889943452187</v>
      </c>
      <c r="K8" s="214">
        <f t="shared" si="3"/>
        <v>-1609.9155436922515</v>
      </c>
      <c r="L8" s="214">
        <f t="shared" si="4"/>
        <v>-1472.9310089791481</v>
      </c>
      <c r="M8" s="214">
        <f t="shared" si="5"/>
        <v>-1712.3092313246261</v>
      </c>
      <c r="N8" s="249">
        <f t="shared" si="6"/>
        <v>-6241.927870391989</v>
      </c>
    </row>
    <row r="9" spans="1:14" ht="15.75">
      <c r="A9" s="145">
        <v>4</v>
      </c>
      <c r="B9" s="180" t="s">
        <v>142</v>
      </c>
      <c r="C9" s="214">
        <v>-3544.29</v>
      </c>
      <c r="D9" s="214">
        <v>-2982.65</v>
      </c>
      <c r="E9" s="214">
        <v>-5542.17</v>
      </c>
      <c r="F9" s="215">
        <v>-4055.7900000000009</v>
      </c>
      <c r="G9" s="214">
        <v>-8420.2699999999968</v>
      </c>
      <c r="H9" s="246">
        <f t="shared" si="0"/>
        <v>-24545.17</v>
      </c>
      <c r="I9" s="214">
        <f t="shared" si="1"/>
        <v>-3351.375906921658</v>
      </c>
      <c r="J9" s="214">
        <f t="shared" si="2"/>
        <v>-2595.4217094728988</v>
      </c>
      <c r="K9" s="214">
        <f t="shared" si="3"/>
        <v>-4551.1898374794109</v>
      </c>
      <c r="L9" s="214">
        <f t="shared" si="4"/>
        <v>-3070.213621879132</v>
      </c>
      <c r="M9" s="214">
        <f t="shared" si="5"/>
        <v>-5902.286741135501</v>
      </c>
      <c r="N9" s="249">
        <f t="shared" si="6"/>
        <v>-19470.487816888599</v>
      </c>
    </row>
    <row r="10" spans="1:14" ht="15.75">
      <c r="A10" s="145">
        <v>5</v>
      </c>
      <c r="B10" s="180" t="s">
        <v>18</v>
      </c>
      <c r="C10" s="214">
        <v>17.7800000000002</v>
      </c>
      <c r="D10" s="214">
        <v>-119.19</v>
      </c>
      <c r="E10" s="214">
        <v>-276.63</v>
      </c>
      <c r="F10" s="215">
        <v>-181.69000000000051</v>
      </c>
      <c r="G10" s="214">
        <v>-868.50139998866143</v>
      </c>
      <c r="H10" s="246">
        <f t="shared" si="0"/>
        <v>-1428.2313999886617</v>
      </c>
      <c r="I10" s="214">
        <f t="shared" si="1"/>
        <v>16.812242684731707</v>
      </c>
      <c r="J10" s="214">
        <f t="shared" si="2"/>
        <v>-103.71592830270893</v>
      </c>
      <c r="K10" s="214">
        <f t="shared" si="3"/>
        <v>-227.1665511418685</v>
      </c>
      <c r="L10" s="214">
        <f t="shared" si="4"/>
        <v>-137.53846056112889</v>
      </c>
      <c r="M10" s="214">
        <f t="shared" si="5"/>
        <v>-608.7862144338244</v>
      </c>
      <c r="N10" s="249">
        <f t="shared" si="6"/>
        <v>-1060.3949117547991</v>
      </c>
    </row>
    <row r="11" spans="1:14" ht="15.75">
      <c r="A11" s="145">
        <v>6</v>
      </c>
      <c r="B11" s="180" t="s">
        <v>19</v>
      </c>
      <c r="C11" s="214">
        <v>8.7400000000000091</v>
      </c>
      <c r="D11" s="214">
        <v>-65.629999999999882</v>
      </c>
      <c r="E11" s="214">
        <v>-433.04</v>
      </c>
      <c r="F11" s="215">
        <v>-142.79</v>
      </c>
      <c r="G11" s="214">
        <v>-233.85</v>
      </c>
      <c r="H11" s="246">
        <f t="shared" si="0"/>
        <v>-866.56999999999994</v>
      </c>
      <c r="I11" s="214">
        <f t="shared" si="1"/>
        <v>8.2642857741593723</v>
      </c>
      <c r="J11" s="214">
        <f t="shared" si="2"/>
        <v>-57.10945863333145</v>
      </c>
      <c r="K11" s="214">
        <f t="shared" si="3"/>
        <v>-355.60930957045417</v>
      </c>
      <c r="L11" s="214">
        <f t="shared" si="4"/>
        <v>-108.09134670880917</v>
      </c>
      <c r="M11" s="214">
        <f t="shared" si="5"/>
        <v>-163.91989264174873</v>
      </c>
      <c r="N11" s="249">
        <f t="shared" si="6"/>
        <v>-676.46572178018414</v>
      </c>
    </row>
    <row r="12" spans="1:14" ht="15.75">
      <c r="A12" s="145">
        <v>7</v>
      </c>
      <c r="B12" s="180" t="s">
        <v>20</v>
      </c>
      <c r="C12" s="214">
        <v>-74.170000000000073</v>
      </c>
      <c r="D12" s="214">
        <v>-197.73</v>
      </c>
      <c r="E12" s="214">
        <v>-613</v>
      </c>
      <c r="F12" s="215">
        <v>-440.28</v>
      </c>
      <c r="G12" s="214">
        <v>-637.70000000000005</v>
      </c>
      <c r="H12" s="246">
        <f t="shared" si="0"/>
        <v>-1962.88</v>
      </c>
      <c r="I12" s="214">
        <f t="shared" si="1"/>
        <v>-70.132960625789536</v>
      </c>
      <c r="J12" s="214">
        <f t="shared" si="2"/>
        <v>-172.05932127942475</v>
      </c>
      <c r="K12" s="214">
        <f t="shared" si="3"/>
        <v>-503.39115732192965</v>
      </c>
      <c r="L12" s="214">
        <f t="shared" si="4"/>
        <v>-333.28985313365433</v>
      </c>
      <c r="M12" s="214">
        <f t="shared" si="5"/>
        <v>-447.00327362686835</v>
      </c>
      <c r="N12" s="249">
        <f t="shared" si="6"/>
        <v>-1525.8765659876665</v>
      </c>
    </row>
    <row r="13" spans="1:14" ht="15.75">
      <c r="A13" s="145">
        <v>8</v>
      </c>
      <c r="B13" s="180" t="s">
        <v>21</v>
      </c>
      <c r="C13" s="214">
        <v>-260.08</v>
      </c>
      <c r="D13" s="214">
        <v>-345.66</v>
      </c>
      <c r="E13" s="214">
        <v>-688.63</v>
      </c>
      <c r="F13" s="215">
        <v>-705.52000000000044</v>
      </c>
      <c r="G13" s="214">
        <v>-1011.6250239999999</v>
      </c>
      <c r="H13" s="246">
        <f t="shared" si="0"/>
        <v>-3011.5150240000003</v>
      </c>
      <c r="I13" s="214">
        <f t="shared" si="1"/>
        <v>-245.92396386079716</v>
      </c>
      <c r="J13" s="214">
        <f t="shared" si="2"/>
        <v>-300.7840236354927</v>
      </c>
      <c r="K13" s="214">
        <f t="shared" si="3"/>
        <v>-565.49796519836934</v>
      </c>
      <c r="L13" s="214">
        <f t="shared" si="4"/>
        <v>-534.07526388401914</v>
      </c>
      <c r="M13" s="214">
        <f t="shared" si="5"/>
        <v>-709.11039267815465</v>
      </c>
      <c r="N13" s="249">
        <f t="shared" si="6"/>
        <v>-2355.3916092568329</v>
      </c>
    </row>
    <row r="14" spans="1:14" ht="15.75">
      <c r="A14" s="145">
        <v>9</v>
      </c>
      <c r="B14" s="180" t="s">
        <v>22</v>
      </c>
      <c r="C14" s="214">
        <v>114.94</v>
      </c>
      <c r="D14" s="214">
        <v>59.44</v>
      </c>
      <c r="E14" s="214">
        <v>-181.8</v>
      </c>
      <c r="F14" s="215">
        <v>-201.66</v>
      </c>
      <c r="G14" s="214">
        <v>-167.97007299999973</v>
      </c>
      <c r="H14" s="246">
        <f t="shared" si="0"/>
        <v>-377.05007299999977</v>
      </c>
      <c r="I14" s="214">
        <f t="shared" si="1"/>
        <v>108.68386806428801</v>
      </c>
      <c r="J14" s="214">
        <f t="shared" si="2"/>
        <v>51.723087325388192</v>
      </c>
      <c r="K14" s="214">
        <f t="shared" si="3"/>
        <v>-149.29284241619382</v>
      </c>
      <c r="L14" s="214">
        <f t="shared" si="4"/>
        <v>-152.6556549989387</v>
      </c>
      <c r="M14" s="214">
        <f t="shared" si="5"/>
        <v>-117.74058727041545</v>
      </c>
      <c r="N14" s="249">
        <f t="shared" si="6"/>
        <v>-259.28212929587175</v>
      </c>
    </row>
    <row r="15" spans="1:14" ht="15.75">
      <c r="A15" s="145">
        <v>10</v>
      </c>
      <c r="B15" s="180" t="s">
        <v>23</v>
      </c>
      <c r="C15" s="214">
        <v>201.74</v>
      </c>
      <c r="D15" s="214">
        <v>96.38</v>
      </c>
      <c r="E15" s="214">
        <v>-769.32</v>
      </c>
      <c r="F15" s="215">
        <v>-424.36</v>
      </c>
      <c r="G15" s="214">
        <v>-1045.83</v>
      </c>
      <c r="H15" s="246">
        <f t="shared" si="0"/>
        <v>-1941.3899999999999</v>
      </c>
      <c r="I15" s="214">
        <f t="shared" si="1"/>
        <v>190.75938353305608</v>
      </c>
      <c r="J15" s="214">
        <f t="shared" si="2"/>
        <v>83.867280558898287</v>
      </c>
      <c r="K15" s="214">
        <f t="shared" si="3"/>
        <v>-631.76000840278459</v>
      </c>
      <c r="L15" s="214">
        <f t="shared" si="4"/>
        <v>-321.23848931543012</v>
      </c>
      <c r="M15" s="214">
        <f t="shared" si="5"/>
        <v>-733.08677067145629</v>
      </c>
      <c r="N15" s="249">
        <f t="shared" si="6"/>
        <v>-1411.4586042977166</v>
      </c>
    </row>
    <row r="16" spans="1:14" ht="15.75">
      <c r="A16" s="145">
        <v>11</v>
      </c>
      <c r="B16" s="180" t="s">
        <v>24</v>
      </c>
      <c r="C16" s="214">
        <v>667.28452264799944</v>
      </c>
      <c r="D16" s="214">
        <v>299.78000000000065</v>
      </c>
      <c r="E16" s="214">
        <v>-1338.12</v>
      </c>
      <c r="F16" s="215">
        <v>-341.64000000000124</v>
      </c>
      <c r="G16" s="214">
        <v>546.26774999999907</v>
      </c>
      <c r="H16" s="246">
        <f t="shared" si="0"/>
        <v>-166.42772735200197</v>
      </c>
      <c r="I16" s="214">
        <f t="shared" si="1"/>
        <v>630.9645295007532</v>
      </c>
      <c r="J16" s="214">
        <f t="shared" si="2"/>
        <v>260.86048314947692</v>
      </c>
      <c r="K16" s="214">
        <f t="shared" si="3"/>
        <v>-1098.8544460613709</v>
      </c>
      <c r="L16" s="214">
        <f t="shared" si="4"/>
        <v>-258.61984515440651</v>
      </c>
      <c r="M16" s="214">
        <f t="shared" si="5"/>
        <v>382.91276858520195</v>
      </c>
      <c r="N16" s="249">
        <f t="shared" si="6"/>
        <v>-82.736509980345431</v>
      </c>
    </row>
    <row r="17" spans="1:14" ht="15.75">
      <c r="A17" s="145"/>
      <c r="B17" s="179" t="s">
        <v>143</v>
      </c>
      <c r="C17" s="216">
        <f>SUM(C6:C16)</f>
        <v>-2632.4954773520021</v>
      </c>
      <c r="D17" s="216">
        <f t="shared" ref="D17:N17" si="7">SUM(D6:D16)</f>
        <v>-3557.0099999999993</v>
      </c>
      <c r="E17" s="216">
        <f t="shared" si="7"/>
        <v>-14323.509999999998</v>
      </c>
      <c r="F17" s="216">
        <f t="shared" si="7"/>
        <v>-12349.490000000003</v>
      </c>
      <c r="G17" s="216">
        <f t="shared" si="7"/>
        <v>-18432.519314988662</v>
      </c>
      <c r="H17" s="247">
        <f t="shared" si="0"/>
        <v>-51295.024792340664</v>
      </c>
      <c r="I17" s="216">
        <f t="shared" si="7"/>
        <v>-2489.2099455399334</v>
      </c>
      <c r="J17" s="216">
        <f t="shared" si="7"/>
        <v>-3095.214314388948</v>
      </c>
      <c r="K17" s="216">
        <f t="shared" si="7"/>
        <v>-11762.3626032826</v>
      </c>
      <c r="L17" s="216">
        <f t="shared" si="7"/>
        <v>-9348.5048341408492</v>
      </c>
      <c r="M17" s="216">
        <f t="shared" si="7"/>
        <v>-12920.490003121235</v>
      </c>
      <c r="N17" s="250">
        <f t="shared" si="7"/>
        <v>-39615.781700473555</v>
      </c>
    </row>
    <row r="18" spans="1:14" ht="15.75">
      <c r="A18" s="415" t="s">
        <v>140</v>
      </c>
      <c r="B18" s="179" t="s">
        <v>275</v>
      </c>
      <c r="C18" s="172"/>
      <c r="D18" s="172"/>
      <c r="E18" s="172"/>
      <c r="F18" s="172"/>
      <c r="G18" s="172"/>
      <c r="H18" s="245"/>
      <c r="I18" s="172"/>
      <c r="J18" s="172"/>
      <c r="K18" s="172"/>
      <c r="L18" s="172"/>
      <c r="M18" s="172"/>
      <c r="N18" s="248"/>
    </row>
    <row r="19" spans="1:14" ht="15.75">
      <c r="A19" s="145">
        <v>1</v>
      </c>
      <c r="B19" s="180" t="s">
        <v>27</v>
      </c>
      <c r="C19" s="214">
        <v>8401.92</v>
      </c>
      <c r="D19" s="214">
        <v>13829</v>
      </c>
      <c r="E19" s="214">
        <v>10750.79</v>
      </c>
      <c r="F19" s="214">
        <v>16163.33</v>
      </c>
      <c r="G19" s="214">
        <v>15953.16</v>
      </c>
      <c r="H19" s="246">
        <f>+SUM(C19:G19)</f>
        <v>65098.2</v>
      </c>
      <c r="I19" s="214">
        <f t="shared" ref="I19:I35" si="8">+C19/C$45</f>
        <v>7944.6073148312398</v>
      </c>
      <c r="J19" s="214">
        <f t="shared" ref="J19:J35" si="9">+D19/D$45</f>
        <v>12033.623395403656</v>
      </c>
      <c r="K19" s="214">
        <f t="shared" ref="K19:K35" si="10">+E19/E$45</f>
        <v>8828.4708323409923</v>
      </c>
      <c r="L19" s="214">
        <f t="shared" ref="L19:L35" si="11">+F19/F$45</f>
        <v>12235.563463820272</v>
      </c>
      <c r="M19" s="214">
        <f t="shared" ref="M19:M35" si="12">+G19/G$45</f>
        <v>11182.554092352533</v>
      </c>
      <c r="N19" s="249">
        <f>+SUM(I19:M19)</f>
        <v>52224.819098748696</v>
      </c>
    </row>
    <row r="20" spans="1:14" ht="15.75">
      <c r="A20" s="145">
        <v>2</v>
      </c>
      <c r="B20" s="180" t="s">
        <v>28</v>
      </c>
      <c r="C20" s="214">
        <v>5124.2299999999923</v>
      </c>
      <c r="D20" s="214">
        <v>6337.72</v>
      </c>
      <c r="E20" s="214">
        <v>6041.8300000000054</v>
      </c>
      <c r="F20" s="214">
        <v>9442.0699999999924</v>
      </c>
      <c r="G20" s="214">
        <v>7101.2763170000035</v>
      </c>
      <c r="H20" s="246">
        <f t="shared" ref="H20:H36" si="13">+SUM(C20:G20)</f>
        <v>34047.126316999995</v>
      </c>
      <c r="I20" s="214">
        <f t="shared" si="8"/>
        <v>4845.3204911350767</v>
      </c>
      <c r="J20" s="214">
        <f t="shared" si="9"/>
        <v>5514.9132739545639</v>
      </c>
      <c r="K20" s="214">
        <f t="shared" si="10"/>
        <v>4961.5070082257043</v>
      </c>
      <c r="L20" s="214">
        <f t="shared" si="11"/>
        <v>7147.6018069811971</v>
      </c>
      <c r="M20" s="214">
        <f t="shared" si="12"/>
        <v>4977.72269190521</v>
      </c>
      <c r="N20" s="249">
        <f t="shared" ref="N20:N40" si="14">+SUM(I20:M20)</f>
        <v>27447.065272201755</v>
      </c>
    </row>
    <row r="21" spans="1:14" ht="15.75">
      <c r="A21" s="145">
        <v>3</v>
      </c>
      <c r="B21" s="180" t="s">
        <v>29</v>
      </c>
      <c r="C21" s="214">
        <v>4626.53</v>
      </c>
      <c r="D21" s="214">
        <v>5276.33</v>
      </c>
      <c r="E21" s="214">
        <v>5427.67</v>
      </c>
      <c r="F21" s="214">
        <v>7614.92</v>
      </c>
      <c r="G21" s="214">
        <v>7758.64</v>
      </c>
      <c r="H21" s="246">
        <f t="shared" si="13"/>
        <v>30704.09</v>
      </c>
      <c r="I21" s="214">
        <f t="shared" si="8"/>
        <v>4374.7100758262604</v>
      </c>
      <c r="J21" s="214">
        <f t="shared" si="9"/>
        <v>4591.3202783910747</v>
      </c>
      <c r="K21" s="214">
        <f t="shared" si="10"/>
        <v>4457.1632673107961</v>
      </c>
      <c r="L21" s="214">
        <f t="shared" si="11"/>
        <v>5764.4580004191139</v>
      </c>
      <c r="M21" s="214">
        <f t="shared" si="12"/>
        <v>5438.509454120066</v>
      </c>
      <c r="N21" s="249">
        <f t="shared" si="14"/>
        <v>24626.161076067314</v>
      </c>
    </row>
    <row r="22" spans="1:14" ht="15.75">
      <c r="A22" s="145">
        <v>4</v>
      </c>
      <c r="B22" s="180" t="s">
        <v>30</v>
      </c>
      <c r="C22" s="214">
        <v>601.65999999999894</v>
      </c>
      <c r="D22" s="214">
        <v>534.08000000000004</v>
      </c>
      <c r="E22" s="214">
        <v>1025</v>
      </c>
      <c r="F22" s="215">
        <v>1192.9199999999996</v>
      </c>
      <c r="G22" s="214">
        <v>1849.2788999999993</v>
      </c>
      <c r="H22" s="246">
        <f t="shared" si="13"/>
        <v>5202.9388999999974</v>
      </c>
      <c r="I22" s="214">
        <f t="shared" si="8"/>
        <v>568.91191978040206</v>
      </c>
      <c r="J22" s="214">
        <f t="shared" si="9"/>
        <v>464.74203362623371</v>
      </c>
      <c r="K22" s="214">
        <f t="shared" si="10"/>
        <v>841.72257137843053</v>
      </c>
      <c r="L22" s="214">
        <f t="shared" si="11"/>
        <v>903.03473153492962</v>
      </c>
      <c r="M22" s="214">
        <f t="shared" si="12"/>
        <v>1296.273674375245</v>
      </c>
      <c r="N22" s="249">
        <f t="shared" si="14"/>
        <v>4074.6849306952408</v>
      </c>
    </row>
    <row r="23" spans="1:14" ht="15.75">
      <c r="A23" s="145">
        <v>5</v>
      </c>
      <c r="B23" s="180" t="s">
        <v>31</v>
      </c>
      <c r="C23" s="214">
        <v>7454.0100000000057</v>
      </c>
      <c r="D23" s="214">
        <v>8287.23</v>
      </c>
      <c r="E23" s="214">
        <v>3755.2099999999919</v>
      </c>
      <c r="F23" s="215">
        <v>9052.5299999999988</v>
      </c>
      <c r="G23" s="214">
        <v>14228.769399999997</v>
      </c>
      <c r="H23" s="246">
        <f t="shared" si="13"/>
        <v>42777.749399999993</v>
      </c>
      <c r="I23" s="214">
        <f t="shared" si="8"/>
        <v>7048.291625107744</v>
      </c>
      <c r="J23" s="214">
        <f t="shared" si="9"/>
        <v>7211.3243771126645</v>
      </c>
      <c r="K23" s="214">
        <f t="shared" si="10"/>
        <v>3083.7512363570627</v>
      </c>
      <c r="L23" s="214">
        <f t="shared" si="11"/>
        <v>6852.7218910420634</v>
      </c>
      <c r="M23" s="214">
        <f t="shared" si="12"/>
        <v>9973.8223325730123</v>
      </c>
      <c r="N23" s="249">
        <f t="shared" si="14"/>
        <v>34169.911462192547</v>
      </c>
    </row>
    <row r="24" spans="1:14" ht="15.75">
      <c r="A24" s="145">
        <v>6</v>
      </c>
      <c r="B24" s="180" t="s">
        <v>32</v>
      </c>
      <c r="C24" s="214">
        <v>4249.57</v>
      </c>
      <c r="D24" s="214">
        <v>524.9</v>
      </c>
      <c r="E24" s="214">
        <v>-189.92</v>
      </c>
      <c r="F24" s="214">
        <v>2220.35</v>
      </c>
      <c r="G24" s="214">
        <v>2475.7600000000002</v>
      </c>
      <c r="H24" s="246">
        <f t="shared" si="13"/>
        <v>9280.66</v>
      </c>
      <c r="I24" s="214">
        <f t="shared" si="8"/>
        <v>4018.2678372190394</v>
      </c>
      <c r="J24" s="214">
        <f t="shared" si="9"/>
        <v>456.75384483674736</v>
      </c>
      <c r="K24" s="214">
        <f t="shared" si="10"/>
        <v>-155.96092756701611</v>
      </c>
      <c r="L24" s="214">
        <f t="shared" si="11"/>
        <v>1680.794324987075</v>
      </c>
      <c r="M24" s="214">
        <f t="shared" si="12"/>
        <v>1735.4129288293173</v>
      </c>
      <c r="N24" s="249">
        <f t="shared" si="14"/>
        <v>7735.2680083051628</v>
      </c>
    </row>
    <row r="25" spans="1:14" ht="15.75">
      <c r="A25" s="145">
        <v>7</v>
      </c>
      <c r="B25" s="180" t="s">
        <v>33</v>
      </c>
      <c r="C25" s="214">
        <v>2906.21</v>
      </c>
      <c r="D25" s="214">
        <v>3047.09</v>
      </c>
      <c r="E25" s="214">
        <v>2086.39</v>
      </c>
      <c r="F25" s="215">
        <v>4014.3500000000004</v>
      </c>
      <c r="G25" s="214">
        <v>5918.9400000000023</v>
      </c>
      <c r="H25" s="246">
        <f t="shared" si="13"/>
        <v>17972.980000000003</v>
      </c>
      <c r="I25" s="214">
        <f t="shared" si="8"/>
        <v>2748.0263111807417</v>
      </c>
      <c r="J25" s="214">
        <f t="shared" si="9"/>
        <v>2651.4956621520378</v>
      </c>
      <c r="K25" s="214">
        <f t="shared" si="10"/>
        <v>1713.3283470226766</v>
      </c>
      <c r="L25" s="214">
        <f t="shared" si="11"/>
        <v>3038.8437401814426</v>
      </c>
      <c r="M25" s="214">
        <f t="shared" si="12"/>
        <v>4148.9502217359532</v>
      </c>
      <c r="N25" s="249">
        <f t="shared" si="14"/>
        <v>14300.644282272851</v>
      </c>
    </row>
    <row r="26" spans="1:14" ht="15.75">
      <c r="A26" s="145">
        <v>8</v>
      </c>
      <c r="B26" s="180" t="s">
        <v>34</v>
      </c>
      <c r="C26" s="214">
        <v>8544.1200000000008</v>
      </c>
      <c r="D26" s="214">
        <v>8481.0020096890075</v>
      </c>
      <c r="E26" s="214">
        <v>9437.852851048985</v>
      </c>
      <c r="F26" s="215">
        <v>14747.972998219004</v>
      </c>
      <c r="G26" s="214">
        <v>16376.535714923128</v>
      </c>
      <c r="H26" s="246">
        <f t="shared" si="13"/>
        <v>57587.483573880127</v>
      </c>
      <c r="I26" s="214">
        <f t="shared" si="8"/>
        <v>8079.0674334909045</v>
      </c>
      <c r="J26" s="214">
        <f t="shared" si="9"/>
        <v>7379.9395618091748</v>
      </c>
      <c r="K26" s="214">
        <f t="shared" si="10"/>
        <v>7750.2963610499537</v>
      </c>
      <c r="L26" s="214">
        <f t="shared" si="11"/>
        <v>11164.144986362115</v>
      </c>
      <c r="M26" s="214">
        <f t="shared" si="12"/>
        <v>11479.324251588467</v>
      </c>
      <c r="N26" s="249">
        <f t="shared" si="14"/>
        <v>45852.772594300608</v>
      </c>
    </row>
    <row r="27" spans="1:14" ht="15.75">
      <c r="A27" s="145">
        <v>9</v>
      </c>
      <c r="B27" s="180" t="s">
        <v>35</v>
      </c>
      <c r="C27" s="214">
        <v>-2971.7</v>
      </c>
      <c r="D27" s="214">
        <v>-2632.3220303000016</v>
      </c>
      <c r="E27" s="214">
        <v>-2431.86</v>
      </c>
      <c r="F27" s="215">
        <v>-1215.6399999999994</v>
      </c>
      <c r="G27" s="214">
        <v>-5038.4287146553106</v>
      </c>
      <c r="H27" s="246">
        <f t="shared" si="13"/>
        <v>-14289.950744955311</v>
      </c>
      <c r="I27" s="214">
        <f t="shared" si="8"/>
        <v>-2809.9517202596544</v>
      </c>
      <c r="J27" s="214">
        <f t="shared" si="9"/>
        <v>-2290.5757443093898</v>
      </c>
      <c r="K27" s="214">
        <f t="shared" si="10"/>
        <v>-1997.0258072510733</v>
      </c>
      <c r="L27" s="214">
        <f t="shared" si="11"/>
        <v>-920.23366281319932</v>
      </c>
      <c r="M27" s="214">
        <f t="shared" si="12"/>
        <v>-3531.7455376925486</v>
      </c>
      <c r="N27" s="249">
        <f t="shared" si="14"/>
        <v>-11549.532472325865</v>
      </c>
    </row>
    <row r="28" spans="1:14" ht="15.75">
      <c r="A28" s="145">
        <v>10</v>
      </c>
      <c r="B28" s="180" t="s">
        <v>36</v>
      </c>
      <c r="C28" s="214">
        <v>7502.68</v>
      </c>
      <c r="D28" s="214">
        <v>6748</v>
      </c>
      <c r="E28" s="214">
        <v>10376.030000000001</v>
      </c>
      <c r="F28" s="215">
        <v>11906.62</v>
      </c>
      <c r="G28" s="214">
        <v>11672.49</v>
      </c>
      <c r="H28" s="246">
        <f t="shared" si="13"/>
        <v>48205.82</v>
      </c>
      <c r="I28" s="214">
        <f t="shared" si="8"/>
        <v>7094.312539138441</v>
      </c>
      <c r="J28" s="214">
        <f t="shared" si="9"/>
        <v>5871.9278814219306</v>
      </c>
      <c r="K28" s="214">
        <f t="shared" si="10"/>
        <v>8520.7206363899877</v>
      </c>
      <c r="L28" s="214">
        <f t="shared" si="11"/>
        <v>9013.2543634010908</v>
      </c>
      <c r="M28" s="214">
        <f t="shared" si="12"/>
        <v>8181.9683885477252</v>
      </c>
      <c r="N28" s="249">
        <f t="shared" si="14"/>
        <v>38682.183808899172</v>
      </c>
    </row>
    <row r="29" spans="1:14" ht="15.75">
      <c r="A29" s="145">
        <v>11</v>
      </c>
      <c r="B29" s="180" t="s">
        <v>37</v>
      </c>
      <c r="C29" s="214">
        <v>9432.0499999999993</v>
      </c>
      <c r="D29" s="214">
        <v>10711.01</v>
      </c>
      <c r="E29" s="214">
        <v>2414.77</v>
      </c>
      <c r="F29" s="215">
        <v>5398.27</v>
      </c>
      <c r="G29" s="214">
        <v>15829.97</v>
      </c>
      <c r="H29" s="246">
        <f t="shared" si="13"/>
        <v>43786.07</v>
      </c>
      <c r="I29" s="214">
        <f t="shared" si="8"/>
        <v>8918.6678073409403</v>
      </c>
      <c r="J29" s="214">
        <f t="shared" si="9"/>
        <v>9320.4324625354348</v>
      </c>
      <c r="K29" s="214">
        <f t="shared" si="10"/>
        <v>1982.9916231097488</v>
      </c>
      <c r="L29" s="214">
        <f t="shared" si="11"/>
        <v>4086.4645577264751</v>
      </c>
      <c r="M29" s="214">
        <f t="shared" si="12"/>
        <v>11096.202621005357</v>
      </c>
      <c r="N29" s="249">
        <f t="shared" si="14"/>
        <v>35404.759071717956</v>
      </c>
    </row>
    <row r="30" spans="1:14" ht="15.75">
      <c r="A30" s="145">
        <v>12</v>
      </c>
      <c r="B30" s="180" t="s">
        <v>104</v>
      </c>
      <c r="C30" s="214">
        <v>4874.4361000000008</v>
      </c>
      <c r="D30" s="214">
        <v>4352.0456999999997</v>
      </c>
      <c r="E30" s="214">
        <v>2619.4993600000053</v>
      </c>
      <c r="F30" s="215">
        <v>6403.7999999999993</v>
      </c>
      <c r="G30" s="214">
        <v>3814.8199999999997</v>
      </c>
      <c r="H30" s="246">
        <f t="shared" si="13"/>
        <v>22064.601160000006</v>
      </c>
      <c r="I30" s="214">
        <f t="shared" si="8"/>
        <v>4609.1227595284727</v>
      </c>
      <c r="J30" s="214">
        <f t="shared" si="9"/>
        <v>3787.0329708139329</v>
      </c>
      <c r="K30" s="214">
        <f t="shared" si="10"/>
        <v>2151.1138897788851</v>
      </c>
      <c r="L30" s="214">
        <f t="shared" si="11"/>
        <v>4847.6459559764144</v>
      </c>
      <c r="M30" s="214">
        <f t="shared" si="12"/>
        <v>2674.0426976591652</v>
      </c>
      <c r="N30" s="249">
        <f t="shared" si="14"/>
        <v>18068.958273756871</v>
      </c>
    </row>
    <row r="31" spans="1:14" ht="15.75">
      <c r="A31" s="145">
        <v>13</v>
      </c>
      <c r="B31" s="180" t="s">
        <v>39</v>
      </c>
      <c r="C31" s="214">
        <v>-3680.85</v>
      </c>
      <c r="D31" s="214">
        <v>-3665.11</v>
      </c>
      <c r="E31" s="214">
        <v>-5769.68</v>
      </c>
      <c r="F31" s="215">
        <v>-4399.9800000000032</v>
      </c>
      <c r="G31" s="214">
        <v>-8255.64</v>
      </c>
      <c r="H31" s="246">
        <f t="shared" si="13"/>
        <v>-25771.260000000002</v>
      </c>
      <c r="I31" s="214">
        <f t="shared" si="8"/>
        <v>-3480.5030082167609</v>
      </c>
      <c r="J31" s="214">
        <f t="shared" si="9"/>
        <v>-3189.2800233370381</v>
      </c>
      <c r="K31" s="214">
        <f t="shared" si="10"/>
        <v>-4738.0194006153197</v>
      </c>
      <c r="L31" s="214">
        <f t="shared" si="11"/>
        <v>-3330.7638048310564</v>
      </c>
      <c r="M31" s="214">
        <f t="shared" si="12"/>
        <v>-5786.8874171003908</v>
      </c>
      <c r="N31" s="249">
        <f t="shared" si="14"/>
        <v>-20525.453654100565</v>
      </c>
    </row>
    <row r="32" spans="1:14" ht="15.75">
      <c r="A32" s="145">
        <v>14</v>
      </c>
      <c r="B32" s="180" t="s">
        <v>40</v>
      </c>
      <c r="C32" s="214">
        <v>2658.27</v>
      </c>
      <c r="D32" s="214">
        <v>471.29000000000087</v>
      </c>
      <c r="E32" s="214">
        <v>-1970.32</v>
      </c>
      <c r="F32" s="215">
        <v>5191.8099999999977</v>
      </c>
      <c r="G32" s="214">
        <v>6213.8399999999965</v>
      </c>
      <c r="H32" s="246">
        <f t="shared" si="13"/>
        <v>12564.889999999996</v>
      </c>
      <c r="I32" s="214">
        <f t="shared" si="8"/>
        <v>2513.5815726401156</v>
      </c>
      <c r="J32" s="214">
        <f t="shared" si="9"/>
        <v>410.10386651383322</v>
      </c>
      <c r="K32" s="214">
        <f t="shared" si="10"/>
        <v>-1618.0125042325358</v>
      </c>
      <c r="L32" s="214">
        <f t="shared" si="11"/>
        <v>3930.1753256969141</v>
      </c>
      <c r="M32" s="214">
        <f t="shared" si="12"/>
        <v>4355.6638259268902</v>
      </c>
      <c r="N32" s="249">
        <f t="shared" si="14"/>
        <v>9591.5120865452172</v>
      </c>
    </row>
    <row r="33" spans="1:14" ht="15.75">
      <c r="A33" s="145">
        <v>15</v>
      </c>
      <c r="B33" s="180" t="s">
        <v>41</v>
      </c>
      <c r="C33" s="214">
        <v>9866.14</v>
      </c>
      <c r="D33" s="214">
        <v>7298.9300000000076</v>
      </c>
      <c r="E33" s="214">
        <v>5393.2200000000084</v>
      </c>
      <c r="F33" s="215">
        <v>7351.39</v>
      </c>
      <c r="G33" s="214">
        <v>5060.04</v>
      </c>
      <c r="H33" s="246">
        <f t="shared" si="13"/>
        <v>34969.720000000016</v>
      </c>
      <c r="I33" s="214">
        <f t="shared" si="8"/>
        <v>9329.1304860257042</v>
      </c>
      <c r="J33" s="214">
        <f t="shared" si="9"/>
        <v>6351.3323312903103</v>
      </c>
      <c r="K33" s="214">
        <f t="shared" si="10"/>
        <v>4428.8731769849619</v>
      </c>
      <c r="L33" s="214">
        <f t="shared" si="11"/>
        <v>5564.9670514859081</v>
      </c>
      <c r="M33" s="214">
        <f t="shared" si="12"/>
        <v>3546.8942209234733</v>
      </c>
      <c r="N33" s="249">
        <f t="shared" si="14"/>
        <v>29221.197266710362</v>
      </c>
    </row>
    <row r="34" spans="1:14" ht="15.75">
      <c r="A34" s="145">
        <v>16</v>
      </c>
      <c r="B34" s="180" t="s">
        <v>42</v>
      </c>
      <c r="C34" s="214">
        <v>9286.7000000000007</v>
      </c>
      <c r="D34" s="214">
        <v>10604.98</v>
      </c>
      <c r="E34" s="214">
        <v>9215.429999999993</v>
      </c>
      <c r="F34" s="215">
        <v>9529.25</v>
      </c>
      <c r="G34" s="214">
        <v>13883.47</v>
      </c>
      <c r="H34" s="246">
        <f t="shared" si="13"/>
        <v>52519.829999999994</v>
      </c>
      <c r="I34" s="214">
        <f t="shared" si="8"/>
        <v>8781.2291417489432</v>
      </c>
      <c r="J34" s="214">
        <f t="shared" si="9"/>
        <v>9228.1680118437962</v>
      </c>
      <c r="K34" s="214">
        <f t="shared" si="10"/>
        <v>7567.6443277638282</v>
      </c>
      <c r="L34" s="214">
        <f t="shared" si="11"/>
        <v>7213.5966497998452</v>
      </c>
      <c r="M34" s="214">
        <f t="shared" si="12"/>
        <v>9731.7806794737608</v>
      </c>
      <c r="N34" s="249">
        <f t="shared" si="14"/>
        <v>42522.418810630181</v>
      </c>
    </row>
    <row r="35" spans="1:14" ht="15.75">
      <c r="A35" s="145">
        <v>17</v>
      </c>
      <c r="B35" s="180" t="s">
        <v>43</v>
      </c>
      <c r="C35" s="214">
        <v>-5017.7499999999927</v>
      </c>
      <c r="D35" s="214">
        <v>-11795.29</v>
      </c>
      <c r="E35" s="214">
        <v>-16375.17</v>
      </c>
      <c r="F35" s="215">
        <v>-10875.53</v>
      </c>
      <c r="G35" s="214">
        <v>-7277.13</v>
      </c>
      <c r="H35" s="246">
        <f t="shared" si="13"/>
        <v>-51340.869999999988</v>
      </c>
      <c r="I35" s="214">
        <f t="shared" si="8"/>
        <v>-4744.6361491176303</v>
      </c>
      <c r="J35" s="214">
        <f t="shared" si="9"/>
        <v>-10263.943719688396</v>
      </c>
      <c r="K35" s="214">
        <f t="shared" si="10"/>
        <v>-13447.170926008715</v>
      </c>
      <c r="L35" s="214">
        <f t="shared" si="11"/>
        <v>-8232.7241674630968</v>
      </c>
      <c r="M35" s="214">
        <f t="shared" si="12"/>
        <v>-5100.9893878129096</v>
      </c>
      <c r="N35" s="249">
        <f t="shared" si="14"/>
        <v>-41789.46435009074</v>
      </c>
    </row>
    <row r="36" spans="1:14" ht="15.75">
      <c r="A36" s="145"/>
      <c r="B36" s="179" t="s">
        <v>139</v>
      </c>
      <c r="C36" s="216">
        <f>SUM(C19:C35)</f>
        <v>73858.2261</v>
      </c>
      <c r="D36" s="216">
        <f t="shared" ref="D36:N36" si="15">SUM(D19:D35)</f>
        <v>68410.88567938903</v>
      </c>
      <c r="E36" s="216">
        <f t="shared" si="15"/>
        <v>41806.742211048993</v>
      </c>
      <c r="F36" s="216">
        <f t="shared" si="15"/>
        <v>93738.432998218996</v>
      </c>
      <c r="G36" s="216">
        <f t="shared" si="15"/>
        <v>107565.79161726782</v>
      </c>
      <c r="H36" s="247">
        <f t="shared" si="13"/>
        <v>385380.07860592485</v>
      </c>
      <c r="I36" s="216">
        <f t="shared" si="15"/>
        <v>69838.156437399972</v>
      </c>
      <c r="J36" s="216">
        <f t="shared" si="15"/>
        <v>59529.310464370559</v>
      </c>
      <c r="K36" s="216">
        <f t="shared" si="15"/>
        <v>34331.393712038371</v>
      </c>
      <c r="L36" s="216">
        <f t="shared" si="15"/>
        <v>70959.545214307509</v>
      </c>
      <c r="M36" s="216">
        <f t="shared" si="15"/>
        <v>75399.499738410319</v>
      </c>
      <c r="N36" s="250">
        <f t="shared" si="15"/>
        <v>310057.90556652669</v>
      </c>
    </row>
    <row r="37" spans="1:14" ht="15.75">
      <c r="A37" s="145"/>
      <c r="B37" s="179" t="s">
        <v>175</v>
      </c>
      <c r="C37" s="216">
        <f>C36+C17</f>
        <v>71225.730622648</v>
      </c>
      <c r="D37" s="216">
        <f>D36+D17</f>
        <v>64853.875679389028</v>
      </c>
      <c r="E37" s="216">
        <f>E36+E17</f>
        <v>27483.232211048995</v>
      </c>
      <c r="F37" s="216">
        <f>F36+F17</f>
        <v>81388.94299821899</v>
      </c>
      <c r="G37" s="216">
        <f>G36+G17</f>
        <v>89133.272302279162</v>
      </c>
      <c r="H37" s="247">
        <f t="shared" ref="H37:H42" si="16">+SUM(C37:G37)</f>
        <v>334085.05381358415</v>
      </c>
      <c r="I37" s="216">
        <f t="shared" ref="I37:N37" si="17">I36+I17</f>
        <v>67348.946491860042</v>
      </c>
      <c r="J37" s="216">
        <f t="shared" si="17"/>
        <v>56434.096149981611</v>
      </c>
      <c r="K37" s="216">
        <f t="shared" si="17"/>
        <v>22569.031108755771</v>
      </c>
      <c r="L37" s="216">
        <f t="shared" si="17"/>
        <v>61611.040380166662</v>
      </c>
      <c r="M37" s="216">
        <f t="shared" si="17"/>
        <v>62479.009735289088</v>
      </c>
      <c r="N37" s="250">
        <f t="shared" si="17"/>
        <v>270442.12386605312</v>
      </c>
    </row>
    <row r="38" spans="1:14" ht="15.75">
      <c r="A38" s="151" t="s">
        <v>271</v>
      </c>
      <c r="B38" s="179" t="s">
        <v>276</v>
      </c>
      <c r="C38" s="216"/>
      <c r="D38" s="216"/>
      <c r="E38" s="216"/>
      <c r="F38" s="216"/>
      <c r="G38" s="216"/>
      <c r="H38" s="247"/>
      <c r="I38" s="216"/>
      <c r="J38" s="216"/>
      <c r="K38" s="216"/>
      <c r="L38" s="216"/>
      <c r="M38" s="216"/>
      <c r="N38" s="250"/>
    </row>
    <row r="39" spans="1:14" ht="15.75">
      <c r="A39" s="145">
        <v>1</v>
      </c>
      <c r="B39" s="180" t="s">
        <v>145</v>
      </c>
      <c r="C39" s="214">
        <v>7692.32</v>
      </c>
      <c r="D39" s="214">
        <v>7668.32</v>
      </c>
      <c r="E39" s="214">
        <v>9689.89</v>
      </c>
      <c r="F39" s="217">
        <v>13228.12</v>
      </c>
      <c r="G39" s="214">
        <v>9241.68</v>
      </c>
      <c r="H39" s="246">
        <f t="shared" si="16"/>
        <v>47520.33</v>
      </c>
      <c r="I39" s="214">
        <f t="shared" ref="I39:M40" si="18">+C39/C$45</f>
        <v>7273.6305201695141</v>
      </c>
      <c r="J39" s="214">
        <f t="shared" si="18"/>
        <v>6672.7655618946974</v>
      </c>
      <c r="K39" s="214">
        <f t="shared" si="18"/>
        <v>7957.2674411455018</v>
      </c>
      <c r="L39" s="214">
        <f t="shared" si="18"/>
        <v>10013.623539643764</v>
      </c>
      <c r="M39" s="214">
        <f t="shared" si="18"/>
        <v>6478.0636879597878</v>
      </c>
      <c r="N39" s="249">
        <f t="shared" si="14"/>
        <v>38395.350750813268</v>
      </c>
    </row>
    <row r="40" spans="1:14" ht="15.75">
      <c r="A40" s="145">
        <v>2</v>
      </c>
      <c r="B40" s="180" t="s">
        <v>47</v>
      </c>
      <c r="C40" s="214">
        <v>87.52</v>
      </c>
      <c r="D40" s="214">
        <v>0</v>
      </c>
      <c r="E40" s="214">
        <v>0</v>
      </c>
      <c r="F40" s="214">
        <f>603.87-493</f>
        <v>110.87</v>
      </c>
      <c r="G40" s="214">
        <f>245.14-513</f>
        <v>-267.86</v>
      </c>
      <c r="H40" s="246">
        <f t="shared" si="16"/>
        <v>-69.470000000000027</v>
      </c>
      <c r="I40" s="214">
        <f t="shared" si="18"/>
        <v>82.756326196158753</v>
      </c>
      <c r="J40" s="214">
        <f t="shared" si="18"/>
        <v>0</v>
      </c>
      <c r="K40" s="214">
        <f t="shared" si="18"/>
        <v>0</v>
      </c>
      <c r="L40" s="214">
        <f t="shared" si="18"/>
        <v>83.928059455183657</v>
      </c>
      <c r="M40" s="214">
        <f t="shared" si="18"/>
        <v>-187.75959992738427</v>
      </c>
      <c r="N40" s="249">
        <f t="shared" si="14"/>
        <v>-21.075214276041862</v>
      </c>
    </row>
    <row r="41" spans="1:14" ht="15.75">
      <c r="A41" s="145"/>
      <c r="B41" s="183" t="s">
        <v>146</v>
      </c>
      <c r="C41" s="216">
        <f>C39+C40</f>
        <v>7779.84</v>
      </c>
      <c r="D41" s="216">
        <f t="shared" ref="D41:J41" si="19">D39+D40</f>
        <v>7668.32</v>
      </c>
      <c r="E41" s="216">
        <f t="shared" si="19"/>
        <v>9689.89</v>
      </c>
      <c r="F41" s="216">
        <f t="shared" si="19"/>
        <v>13338.990000000002</v>
      </c>
      <c r="G41" s="216">
        <f t="shared" si="19"/>
        <v>8973.82</v>
      </c>
      <c r="H41" s="247">
        <f t="shared" si="16"/>
        <v>47450.86</v>
      </c>
      <c r="I41" s="216">
        <f t="shared" si="19"/>
        <v>7356.3868463656727</v>
      </c>
      <c r="J41" s="216">
        <f t="shared" si="19"/>
        <v>6672.7655618946974</v>
      </c>
      <c r="K41" s="216">
        <f>K39+K40</f>
        <v>7957.2674411455018</v>
      </c>
      <c r="L41" s="216">
        <f>L39+L40</f>
        <v>10097.551599098948</v>
      </c>
      <c r="M41" s="216">
        <f>M39+M40</f>
        <v>6290.3040880324033</v>
      </c>
      <c r="N41" s="250">
        <f>N39+N40</f>
        <v>38374.275536537229</v>
      </c>
    </row>
    <row r="42" spans="1:14" s="148" customFormat="1">
      <c r="A42" s="151"/>
      <c r="B42" s="183" t="s">
        <v>147</v>
      </c>
      <c r="C42" s="216">
        <f t="shared" ref="C42:N42" si="20">C37+C41</f>
        <v>79005.570622647996</v>
      </c>
      <c r="D42" s="216">
        <f t="shared" si="20"/>
        <v>72522.195679389028</v>
      </c>
      <c r="E42" s="216">
        <f t="shared" si="20"/>
        <v>37173.122211048991</v>
      </c>
      <c r="F42" s="216">
        <f t="shared" si="20"/>
        <v>94727.932998218996</v>
      </c>
      <c r="G42" s="216">
        <f t="shared" si="20"/>
        <v>98107.092302279169</v>
      </c>
      <c r="H42" s="247">
        <f t="shared" si="16"/>
        <v>381535.91381358413</v>
      </c>
      <c r="I42" s="216">
        <f t="shared" si="20"/>
        <v>74705.333338225711</v>
      </c>
      <c r="J42" s="216">
        <f t="shared" si="20"/>
        <v>63106.861711876307</v>
      </c>
      <c r="K42" s="216">
        <f t="shared" si="20"/>
        <v>30526.298549901272</v>
      </c>
      <c r="L42" s="216">
        <f t="shared" si="20"/>
        <v>71708.591979265606</v>
      </c>
      <c r="M42" s="216">
        <f t="shared" si="20"/>
        <v>68769.313823321485</v>
      </c>
      <c r="N42" s="250">
        <f t="shared" si="20"/>
        <v>308816.39940259035</v>
      </c>
    </row>
    <row r="43" spans="1:14" s="148" customFormat="1" ht="18" customHeight="1">
      <c r="A43" s="184"/>
      <c r="B43" s="541" t="s">
        <v>176</v>
      </c>
      <c r="C43" s="541"/>
      <c r="D43" s="541"/>
      <c r="E43" s="541"/>
      <c r="F43" s="541"/>
      <c r="G43" s="541"/>
      <c r="H43" s="541"/>
      <c r="I43" s="152"/>
      <c r="J43" s="152"/>
      <c r="K43" s="152"/>
      <c r="L43" s="152"/>
      <c r="M43" s="152"/>
      <c r="N43" s="152"/>
    </row>
    <row r="44" spans="1:14" ht="15.75">
      <c r="C44" s="174" t="s">
        <v>55</v>
      </c>
      <c r="D44" s="174" t="s">
        <v>56</v>
      </c>
      <c r="E44" s="174" t="s">
        <v>7</v>
      </c>
      <c r="F44" s="174" t="s">
        <v>8</v>
      </c>
      <c r="G44" s="175" t="s">
        <v>9</v>
      </c>
      <c r="H44" s="175"/>
      <c r="I44" s="176"/>
      <c r="J44" s="177"/>
      <c r="K44" s="177"/>
      <c r="L44" s="177"/>
      <c r="M44" s="177"/>
    </row>
    <row r="45" spans="1:14" s="148" customFormat="1" ht="12.75">
      <c r="A45" s="184"/>
      <c r="B45" s="148" t="s">
        <v>148</v>
      </c>
      <c r="C45" s="185">
        <v>1.0575626543951435</v>
      </c>
      <c r="D45" s="185">
        <v>1.1491966754819751</v>
      </c>
      <c r="E45" s="185">
        <v>1.2177408980745625</v>
      </c>
      <c r="F45" s="185">
        <v>1.321012313637526</v>
      </c>
      <c r="G45" s="185">
        <v>1.426611476076826</v>
      </c>
      <c r="H45" s="185"/>
      <c r="I45" s="186"/>
      <c r="J45" s="186"/>
      <c r="K45" s="186"/>
      <c r="L45" s="186"/>
      <c r="M45" s="186"/>
    </row>
    <row r="46" spans="1:14">
      <c r="C46" s="186"/>
      <c r="D46" s="186"/>
      <c r="E46" s="186"/>
      <c r="F46" s="186"/>
      <c r="G46" s="186"/>
      <c r="H46" s="186"/>
    </row>
  </sheetData>
  <mergeCells count="6">
    <mergeCell ref="A1:M1"/>
    <mergeCell ref="C2:H2"/>
    <mergeCell ref="B43:H43"/>
    <mergeCell ref="A2:A4"/>
    <mergeCell ref="B2:B4"/>
    <mergeCell ref="I2:N2"/>
  </mergeCells>
  <phoneticPr fontId="63" type="noConversion"/>
  <printOptions horizontalCentered="1"/>
  <pageMargins left="0.23622047244094491" right="0.27559055118110237" top="0.39370078740157483" bottom="0.39370078740157483" header="0.11811023622047245" footer="0.11811023622047245"/>
  <pageSetup paperSize="9" scale="76" orientation="landscape" horizontalDpi="4294967295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46"/>
  <sheetViews>
    <sheetView view="pageBreakPreview" zoomScaleNormal="100" workbookViewId="0">
      <pane xSplit="2" ySplit="4" topLeftCell="C11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5.28515625" style="150" customWidth="1"/>
    <col min="2" max="2" width="33.5703125" style="147" bestFit="1" customWidth="1"/>
    <col min="3" max="13" width="12.140625" style="147" customWidth="1"/>
    <col min="14" max="14" width="11" style="147" customWidth="1"/>
    <col min="15" max="16384" width="9.140625" style="147"/>
  </cols>
  <sheetData>
    <row r="1" spans="1:14" ht="42.75" customHeight="1">
      <c r="A1" s="536" t="s">
        <v>180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256" t="s">
        <v>182</v>
      </c>
    </row>
    <row r="2" spans="1:14" ht="15.75" customHeight="1">
      <c r="A2" s="542" t="s">
        <v>99</v>
      </c>
      <c r="B2" s="542" t="s">
        <v>129</v>
      </c>
      <c r="C2" s="540" t="s">
        <v>177</v>
      </c>
      <c r="D2" s="540"/>
      <c r="E2" s="540"/>
      <c r="F2" s="540"/>
      <c r="G2" s="540"/>
      <c r="H2" s="540"/>
      <c r="I2" s="540" t="s">
        <v>178</v>
      </c>
      <c r="J2" s="540"/>
      <c r="K2" s="540"/>
      <c r="L2" s="540"/>
      <c r="M2" s="540"/>
      <c r="N2" s="540"/>
    </row>
    <row r="3" spans="1:14">
      <c r="A3" s="543"/>
      <c r="B3" s="542"/>
      <c r="C3" s="172" t="s">
        <v>55</v>
      </c>
      <c r="D3" s="172" t="s">
        <v>56</v>
      </c>
      <c r="E3" s="172" t="s">
        <v>7</v>
      </c>
      <c r="F3" s="172" t="s">
        <v>8</v>
      </c>
      <c r="G3" s="172" t="s">
        <v>9</v>
      </c>
      <c r="H3" s="245" t="s">
        <v>130</v>
      </c>
      <c r="I3" s="172" t="s">
        <v>55</v>
      </c>
      <c r="J3" s="172" t="s">
        <v>56</v>
      </c>
      <c r="K3" s="172" t="s">
        <v>7</v>
      </c>
      <c r="L3" s="172" t="s">
        <v>8</v>
      </c>
      <c r="M3" s="172" t="s">
        <v>9</v>
      </c>
      <c r="N3" s="253" t="s">
        <v>130</v>
      </c>
    </row>
    <row r="4" spans="1:14">
      <c r="A4" s="543"/>
      <c r="B4" s="542"/>
      <c r="C4" s="172" t="s">
        <v>10</v>
      </c>
      <c r="D4" s="172" t="s">
        <v>10</v>
      </c>
      <c r="E4" s="172" t="s">
        <v>10</v>
      </c>
      <c r="F4" s="172" t="s">
        <v>133</v>
      </c>
      <c r="G4" s="172" t="s">
        <v>134</v>
      </c>
      <c r="H4" s="245" t="s">
        <v>172</v>
      </c>
      <c r="I4" s="172" t="s">
        <v>10</v>
      </c>
      <c r="J4" s="172" t="s">
        <v>10</v>
      </c>
      <c r="K4" s="172" t="s">
        <v>10</v>
      </c>
      <c r="L4" s="172" t="s">
        <v>133</v>
      </c>
      <c r="M4" s="172" t="s">
        <v>134</v>
      </c>
      <c r="N4" s="253" t="s">
        <v>172</v>
      </c>
    </row>
    <row r="5" spans="1:14" ht="15.75">
      <c r="A5" s="151" t="s">
        <v>137</v>
      </c>
      <c r="B5" s="179" t="s">
        <v>141</v>
      </c>
      <c r="C5" s="173"/>
      <c r="D5" s="173"/>
      <c r="E5" s="173"/>
      <c r="F5" s="181"/>
      <c r="G5" s="173"/>
      <c r="H5" s="252"/>
      <c r="I5" s="173"/>
      <c r="J5" s="173"/>
      <c r="K5" s="173"/>
      <c r="L5" s="173"/>
      <c r="M5" s="173"/>
      <c r="N5" s="254"/>
    </row>
    <row r="6" spans="1:14" ht="15.75">
      <c r="A6" s="145">
        <v>1</v>
      </c>
      <c r="B6" s="180" t="s">
        <v>14</v>
      </c>
      <c r="C6" s="173">
        <f ca="1">+BCR!C6/'Aggregate As% of GSDP'!I6*100</f>
        <v>1.5694386694386744</v>
      </c>
      <c r="D6" s="173">
        <f ca="1">+BCR!D6/'Aggregate As% of GSDP'!J6*100</f>
        <v>-1.1695094074204326</v>
      </c>
      <c r="E6" s="173">
        <f ca="1">+BCR!E6/'Aggregate As% of GSDP'!K6*100</f>
        <v>-13.151023288637967</v>
      </c>
      <c r="F6" s="173">
        <f ca="1">+BCR!F6/'Aggregate As% of GSDP'!L6*100</f>
        <v>-3.648244868213288</v>
      </c>
      <c r="G6" s="173">
        <f ca="1">+BCR!G6/'Aggregate As% of GSDP'!M6*100</f>
        <v>-8.0140002137437207</v>
      </c>
      <c r="H6" s="251">
        <f t="shared" ref="H6:H17" si="0">+AVERAGE(C6:G6)</f>
        <v>-4.882667821715347</v>
      </c>
      <c r="I6" s="173">
        <f ca="1">BCR!C6/'Aggregate As% of GSDP'!D6*100</f>
        <v>5.1351994830107976</v>
      </c>
      <c r="J6" s="173">
        <f ca="1">BCR!D6/'Aggregate As% of GSDP'!E6*100</f>
        <v>-3.1678367642435963</v>
      </c>
      <c r="K6" s="173">
        <f ca="1">BCR!E6/'Aggregate As% of GSDP'!F6*100</f>
        <v>-43.969760319385387</v>
      </c>
      <c r="L6" s="173">
        <f ca="1">BCR!F6/'Aggregate As% of GSDP'!G6*100</f>
        <v>-14.755572149324269</v>
      </c>
      <c r="M6" s="173">
        <f ca="1">BCR!G6/'Aggregate As% of GSDP'!H6*100</f>
        <v>-28.398895659517738</v>
      </c>
      <c r="N6" s="255">
        <f t="shared" ref="N6:N17" si="1">+AVERAGE(I6:M6)</f>
        <v>-17.031373081892038</v>
      </c>
    </row>
    <row r="7" spans="1:14" ht="15.75">
      <c r="A7" s="145">
        <v>2</v>
      </c>
      <c r="B7" s="180" t="s">
        <v>15</v>
      </c>
      <c r="C7" s="173">
        <f ca="1">+BCR!C7/'Aggregate As% of GSDP'!I7*100</f>
        <v>0.4657831054082921</v>
      </c>
      <c r="D7" s="173">
        <f ca="1">+BCR!D7/'Aggregate As% of GSDP'!J7*100</f>
        <v>1.5314157436416114</v>
      </c>
      <c r="E7" s="173">
        <f ca="1">+BCR!E7/'Aggregate As% of GSDP'!K7*100</f>
        <v>-1.7130055964717426</v>
      </c>
      <c r="F7" s="173">
        <f ca="1">+BCR!F7/'Aggregate As% of GSDP'!L7*100</f>
        <v>-3.4703071672354944</v>
      </c>
      <c r="G7" s="173">
        <f ca="1">+BCR!G7/'Aggregate As% of GSDP'!M7*100</f>
        <v>-2.9463906904200767</v>
      </c>
      <c r="H7" s="251">
        <f t="shared" si="0"/>
        <v>-1.226500921015482</v>
      </c>
      <c r="I7" s="173">
        <f ca="1">BCR!C7/'Aggregate As% of GSDP'!D7*100</f>
        <v>7.373651656989062</v>
      </c>
      <c r="J7" s="173">
        <f ca="1">BCR!D7/'Aggregate As% of GSDP'!E7*100</f>
        <v>17.5779026800504</v>
      </c>
      <c r="K7" s="173">
        <f ca="1">BCR!E7/'Aggregate As% of GSDP'!F7*100</f>
        <v>-25.38579913995197</v>
      </c>
      <c r="L7" s="173">
        <f ca="1">BCR!F7/'Aggregate As% of GSDP'!G7*100</f>
        <v>-47.215696533682127</v>
      </c>
      <c r="M7" s="173">
        <f ca="1">BCR!G7/'Aggregate As% of GSDP'!H7*100</f>
        <v>-37.781879113315505</v>
      </c>
      <c r="N7" s="255">
        <f t="shared" si="1"/>
        <v>-17.086364089982027</v>
      </c>
    </row>
    <row r="8" spans="1:14" ht="15.75">
      <c r="A8" s="145">
        <v>3</v>
      </c>
      <c r="B8" s="180" t="s">
        <v>16</v>
      </c>
      <c r="C8" s="173">
        <f ca="1">+BCR!C8/'Aggregate As% of GSDP'!I8*100</f>
        <v>-0.50345964726319814</v>
      </c>
      <c r="D8" s="173">
        <f ca="1">+BCR!D8/'Aggregate As% of GSDP'!J8*100</f>
        <v>-3.5600607477761974</v>
      </c>
      <c r="E8" s="173">
        <f ca="1">+BCR!E8/'Aggregate As% of GSDP'!K8*100</f>
        <v>-4.0682728423499137</v>
      </c>
      <c r="F8" s="173">
        <f ca="1">+BCR!F8/'Aggregate As% of GSDP'!L8*100</f>
        <v>-3.4672036208770649</v>
      </c>
      <c r="G8" s="173">
        <f ca="1">+BCR!G8/'Aggregate As% of GSDP'!M8*100</f>
        <v>-3.8571947387535332</v>
      </c>
      <c r="H8" s="251">
        <f t="shared" si="0"/>
        <v>-3.0912383194039816</v>
      </c>
      <c r="I8" s="173">
        <f ca="1">BCR!C8/'Aggregate As% of GSDP'!D8*100</f>
        <v>-6.1848025811305458</v>
      </c>
      <c r="J8" s="173">
        <f ca="1">BCR!D8/'Aggregate As% of GSDP'!E8*100</f>
        <v>-74.600809242131106</v>
      </c>
      <c r="K8" s="173">
        <f ca="1">BCR!E8/'Aggregate As% of GSDP'!F8*100</f>
        <v>-87.999820450668835</v>
      </c>
      <c r="L8" s="173">
        <f ca="1">BCR!F8/'Aggregate As% of GSDP'!G8*100</f>
        <v>-64.06384786087277</v>
      </c>
      <c r="M8" s="173">
        <f ca="1">BCR!G8/'Aggregate As% of GSDP'!H8*100</f>
        <v>-74.024242424242431</v>
      </c>
      <c r="N8" s="255">
        <f t="shared" si="1"/>
        <v>-61.374704511809135</v>
      </c>
    </row>
    <row r="9" spans="1:14" ht="15.75">
      <c r="A9" s="145">
        <v>4</v>
      </c>
      <c r="B9" s="180" t="s">
        <v>142</v>
      </c>
      <c r="C9" s="173">
        <f ca="1">+BCR!C9/'Aggregate As% of GSDP'!I9*100</f>
        <v>-9.5535998274886111</v>
      </c>
      <c r="D9" s="173">
        <f ca="1">+BCR!D9/'Aggregate As% of GSDP'!J9*100</f>
        <v>-7.0486825002954046</v>
      </c>
      <c r="E9" s="173">
        <f ca="1">+BCR!E9/'Aggregate As% of GSDP'!K9*100</f>
        <v>-11.455024595924105</v>
      </c>
      <c r="F9" s="173">
        <f ca="1">+BCR!F9/'Aggregate As% of GSDP'!L9*100</f>
        <v>-7.314846878043503</v>
      </c>
      <c r="G9" s="173">
        <f ca="1">+BCR!G9/'Aggregate As% of GSDP'!M9*100</f>
        <v>-13.241708471590993</v>
      </c>
      <c r="H9" s="251">
        <f t="shared" si="0"/>
        <v>-9.7227724546685241</v>
      </c>
      <c r="I9" s="173">
        <f ca="1">BCR!C9/'Aggregate As% of GSDP'!D9*100</f>
        <v>-85.108237582393855</v>
      </c>
      <c r="J9" s="173">
        <f ca="1">BCR!D9/'Aggregate As% of GSDP'!E9*100</f>
        <v>-59.579716948153781</v>
      </c>
      <c r="K9" s="173">
        <f ca="1">BCR!E9/'Aggregate As% of GSDP'!F9*100</f>
        <v>-82.862294626077045</v>
      </c>
      <c r="L9" s="173">
        <f ca="1">BCR!F9/'Aggregate As% of GSDP'!G9*100</f>
        <v>-70.314751085722236</v>
      </c>
      <c r="M9" s="173">
        <f ca="1">BCR!G9/'Aggregate As% of GSDP'!H9*100</f>
        <v>-176.40279721451716</v>
      </c>
      <c r="N9" s="255">
        <f t="shared" si="1"/>
        <v>-94.853559491372806</v>
      </c>
    </row>
    <row r="10" spans="1:14" ht="15.75">
      <c r="A10" s="145">
        <v>5</v>
      </c>
      <c r="B10" s="180" t="s">
        <v>18</v>
      </c>
      <c r="C10" s="173">
        <f ca="1">+BCR!C10/'Aggregate As% of GSDP'!I10*100</f>
        <v>0.26212590299277905</v>
      </c>
      <c r="D10" s="173">
        <f ca="1">+BCR!D10/'Aggregate As% of GSDP'!J10*100</f>
        <v>-1.6108933639681036</v>
      </c>
      <c r="E10" s="173">
        <f ca="1">+BCR!E10/'Aggregate As% of GSDP'!K10*100</f>
        <v>-3.3272792879480395</v>
      </c>
      <c r="F10" s="173">
        <f ca="1">+BCR!F10/'Aggregate As% of GSDP'!L10*100</f>
        <v>-1.9753207218960698</v>
      </c>
      <c r="G10" s="173">
        <f ca="1">+BCR!G10/'Aggregate As% of GSDP'!M10*100</f>
        <v>-8.524748723877714</v>
      </c>
      <c r="H10" s="251">
        <f t="shared" si="0"/>
        <v>-3.0352232389394294</v>
      </c>
      <c r="I10" s="173">
        <f ca="1">BCR!C10/'Aggregate As% of GSDP'!D10*100</f>
        <v>1.3636642532826271</v>
      </c>
      <c r="J10" s="173">
        <f ca="1">BCR!D10/'Aggregate As% of GSDP'!E10*100</f>
        <v>-7.4395640748762437</v>
      </c>
      <c r="K10" s="173">
        <f ca="1">BCR!E10/'Aggregate As% of GSDP'!F10*100</f>
        <v>-14.92666976031424</v>
      </c>
      <c r="L10" s="173">
        <f ca="1">BCR!F10/'Aggregate As% of GSDP'!G10*100</f>
        <v>-6.4100166874230649</v>
      </c>
      <c r="M10" s="173">
        <f ca="1">BCR!G10/'Aggregate As% of GSDP'!H10*100</f>
        <v>-38.489658485125588</v>
      </c>
      <c r="N10" s="255">
        <f t="shared" si="1"/>
        <v>-13.180448950891304</v>
      </c>
    </row>
    <row r="11" spans="1:14" ht="15.75">
      <c r="A11" s="145">
        <v>6</v>
      </c>
      <c r="B11" s="180" t="s">
        <v>19</v>
      </c>
      <c r="C11" s="173">
        <f ca="1">+BCR!C11/'Aggregate As% of GSDP'!I11*100</f>
        <v>8.9779147406266135E-2</v>
      </c>
      <c r="D11" s="173">
        <f ca="1">+BCR!D11/'Aggregate As% of GSDP'!J11*100</f>
        <v>-0.56494792115003767</v>
      </c>
      <c r="E11" s="173">
        <f ca="1">+BCR!E11/'Aggregate As% of GSDP'!K11*100</f>
        <v>-3.4073491226689749</v>
      </c>
      <c r="F11" s="173">
        <f ca="1">+BCR!F11/'Aggregate As% of GSDP'!L11*100</f>
        <v>-1.0137015476359506</v>
      </c>
      <c r="G11" s="173">
        <f ca="1">+BCR!G11/'Aggregate As% of GSDP'!M11*100</f>
        <v>-1.4712173639509278</v>
      </c>
      <c r="H11" s="251">
        <f t="shared" si="0"/>
        <v>-1.2734873615999249</v>
      </c>
      <c r="I11" s="173">
        <f ca="1">BCR!C11/'Aggregate As% of GSDP'!D11*100</f>
        <v>1.0153699594549077</v>
      </c>
      <c r="J11" s="173">
        <f ca="1">BCR!D11/'Aggregate As% of GSDP'!E11*100</f>
        <v>-5.0832229631867056</v>
      </c>
      <c r="K11" s="173">
        <f ca="1">BCR!E11/'Aggregate As% of GSDP'!F11*100</f>
        <v>-32.000236469510213</v>
      </c>
      <c r="L11" s="173">
        <f ca="1">BCR!F11/'Aggregate As% of GSDP'!G11*100</f>
        <v>-16.811877457790754</v>
      </c>
      <c r="M11" s="173">
        <f ca="1">BCR!G11/'Aggregate As% of GSDP'!H11*100</f>
        <v>-8.5753575357535752</v>
      </c>
      <c r="N11" s="255">
        <f t="shared" si="1"/>
        <v>-12.291064893357269</v>
      </c>
    </row>
    <row r="12" spans="1:14" ht="15.75">
      <c r="A12" s="145">
        <v>7</v>
      </c>
      <c r="B12" s="180" t="s">
        <v>20</v>
      </c>
      <c r="C12" s="173">
        <f ca="1">+BCR!C12/'Aggregate As% of GSDP'!I12*100</f>
        <v>-1.9436582809224339</v>
      </c>
      <c r="D12" s="173">
        <f ca="1">+BCR!D12/'Aggregate As% of GSDP'!J12*100</f>
        <v>-4.320078654140266</v>
      </c>
      <c r="E12" s="173">
        <f ca="1">+BCR!E12/'Aggregate As% of GSDP'!K12*100</f>
        <v>-11.653992395437262</v>
      </c>
      <c r="F12" s="173">
        <f ca="1">+BCR!F12/'Aggregate As% of GSDP'!L12*100</f>
        <v>-7.2677451304060741</v>
      </c>
      <c r="G12" s="173">
        <f ca="1">+BCR!G12/'Aggregate As% of GSDP'!M12*100</f>
        <v>-9.5652670857464628</v>
      </c>
      <c r="H12" s="251">
        <f t="shared" si="0"/>
        <v>-6.9501483093304994</v>
      </c>
      <c r="I12" s="173">
        <f ca="1">BCR!C12/'Aggregate As% of GSDP'!D12*100</f>
        <v>-7.1168811230413533</v>
      </c>
      <c r="J12" s="173">
        <f ca="1">BCR!D12/'Aggregate As% of GSDP'!E12*100</f>
        <v>-23.272209406336806</v>
      </c>
      <c r="K12" s="173">
        <f ca="1">BCR!E12/'Aggregate As% of GSDP'!F12*100</f>
        <v>-65.76406471269793</v>
      </c>
      <c r="L12" s="173">
        <f ca="1">BCR!F12/'Aggregate As% of GSDP'!G12*100</f>
        <v>-34.825115087086516</v>
      </c>
      <c r="M12" s="173">
        <f ca="1">BCR!G12/'Aggregate As% of GSDP'!H12*100</f>
        <v>-40.52310840265114</v>
      </c>
      <c r="N12" s="255">
        <f t="shared" si="1"/>
        <v>-34.300275746362743</v>
      </c>
    </row>
    <row r="13" spans="1:14" ht="15.75">
      <c r="A13" s="145">
        <v>8</v>
      </c>
      <c r="B13" s="180" t="s">
        <v>21</v>
      </c>
      <c r="C13" s="173">
        <f ca="1">+BCR!C13/'Aggregate As% of GSDP'!I13*100</f>
        <v>-3.2208049535603718</v>
      </c>
      <c r="D13" s="173">
        <f ca="1">+BCR!D13/'Aggregate As% of GSDP'!J13*100</f>
        <v>-3.6632047477744809</v>
      </c>
      <c r="E13" s="173">
        <f ca="1">+BCR!E13/'Aggregate As% of GSDP'!K13*100</f>
        <v>-6.5540116113067484</v>
      </c>
      <c r="F13" s="173">
        <f ca="1">+BCR!F13/'Aggregate As% of GSDP'!L13*100</f>
        <v>-6.3049151027703347</v>
      </c>
      <c r="G13" s="173">
        <f ca="1">+BCR!G13/'Aggregate As% of GSDP'!M13*100</f>
        <v>-8.3371107961101032</v>
      </c>
      <c r="H13" s="251">
        <f t="shared" si="0"/>
        <v>-5.6160094423044082</v>
      </c>
      <c r="I13" s="173">
        <f ca="1">BCR!C13/'Aggregate As% of GSDP'!D13*100</f>
        <v>-30.824661625619253</v>
      </c>
      <c r="J13" s="173">
        <f ca="1">BCR!D13/'Aggregate As% of GSDP'!E13*100</f>
        <v>-33.331404767414938</v>
      </c>
      <c r="K13" s="173">
        <f ca="1">BCR!E13/'Aggregate As% of GSDP'!F13*100</f>
        <v>-67.408453646373175</v>
      </c>
      <c r="L13" s="173">
        <f ca="1">BCR!F13/'Aggregate As% of GSDP'!G13*100</f>
        <v>-46.320101894770048</v>
      </c>
      <c r="M13" s="173">
        <f ca="1">BCR!G13/'Aggregate As% of GSDP'!H13*100</f>
        <v>-59.72358972241625</v>
      </c>
      <c r="N13" s="255">
        <f t="shared" si="1"/>
        <v>-47.521642331318731</v>
      </c>
    </row>
    <row r="14" spans="1:14" ht="15.75">
      <c r="A14" s="145">
        <v>9</v>
      </c>
      <c r="B14" s="180" t="s">
        <v>22</v>
      </c>
      <c r="C14" s="173">
        <f ca="1">+BCR!C14/'Aggregate As% of GSDP'!I14*100</f>
        <v>4.5865921787709496</v>
      </c>
      <c r="D14" s="173">
        <f ca="1">+BCR!D14/'Aggregate As% of GSDP'!J14*100</f>
        <v>1.8408175905853204</v>
      </c>
      <c r="E14" s="173">
        <f ca="1">+BCR!E14/'Aggregate As% of GSDP'!K14*100</f>
        <v>-2.9642915375835646</v>
      </c>
      <c r="F14" s="173">
        <f ca="1">+BCR!F14/'Aggregate As% of GSDP'!L14*100</f>
        <v>-2.822393282015395</v>
      </c>
      <c r="G14" s="173">
        <f ca="1">+BCR!G14/'Aggregate As% of GSDP'!M14*100</f>
        <v>-1.9996437261904729</v>
      </c>
      <c r="H14" s="251">
        <f t="shared" si="0"/>
        <v>-0.27178375528663246</v>
      </c>
      <c r="I14" s="173">
        <f ca="1">BCR!C14/'Aggregate As% of GSDP'!D14*100</f>
        <v>14.918747728570681</v>
      </c>
      <c r="J14" s="173">
        <f ca="1">BCR!D14/'Aggregate As% of GSDP'!E14*100</f>
        <v>6.3770665922818601</v>
      </c>
      <c r="K14" s="173">
        <f ca="1">BCR!E14/'Aggregate As% of GSDP'!F14*100</f>
        <v>-14.86253382493603</v>
      </c>
      <c r="L14" s="173">
        <f ca="1">BCR!F14/'Aggregate As% of GSDP'!G14*100</f>
        <v>-29.935426408372301</v>
      </c>
      <c r="M14" s="173">
        <f ca="1">BCR!G14/'Aggregate As% of GSDP'!H14*100</f>
        <v>-11.546716259648214</v>
      </c>
      <c r="N14" s="255">
        <f t="shared" si="1"/>
        <v>-7.0097724344208006</v>
      </c>
    </row>
    <row r="15" spans="1:14" ht="15.75">
      <c r="A15" s="145">
        <v>10</v>
      </c>
      <c r="B15" s="180" t="s">
        <v>23</v>
      </c>
      <c r="C15" s="173">
        <f ca="1">+BCR!C15/'Aggregate As% of GSDP'!I15*100</f>
        <v>1.7100957870645079</v>
      </c>
      <c r="D15" s="173">
        <f ca="1">+BCR!D15/'Aggregate As% of GSDP'!J15*100</f>
        <v>0.7100862005452</v>
      </c>
      <c r="E15" s="173">
        <f ca="1">+BCR!E15/'Aggregate As% of GSDP'!K15*100</f>
        <v>-5.0125097732603603</v>
      </c>
      <c r="F15" s="173">
        <f ca="1">+BCR!F15/'Aggregate As% of GSDP'!L15*100</f>
        <v>-2.4406740668315408</v>
      </c>
      <c r="G15" s="173">
        <f ca="1">+BCR!G15/'Aggregate As% of GSDP'!M15*100</f>
        <v>-5.3004409305154319</v>
      </c>
      <c r="H15" s="251">
        <f t="shared" si="0"/>
        <v>-2.0666885565995252</v>
      </c>
      <c r="I15" s="173">
        <f ca="1">BCR!C15/'Aggregate As% of GSDP'!D15*100</f>
        <v>16.853519573607795</v>
      </c>
      <c r="J15" s="173">
        <f ca="1">BCR!D15/'Aggregate As% of GSDP'!E15*100</f>
        <v>5.4213682232897211</v>
      </c>
      <c r="K15" s="173">
        <f ca="1">BCR!E15/'Aggregate As% of GSDP'!F15*100</f>
        <v>-43.196684952582018</v>
      </c>
      <c r="L15" s="173">
        <f ca="1">BCR!F15/'Aggregate As% of GSDP'!G15*100</f>
        <v>-22.79532232852209</v>
      </c>
      <c r="M15" s="173">
        <f ca="1">BCR!G15/'Aggregate As% of GSDP'!H15*100</f>
        <v>-53.053884317644552</v>
      </c>
      <c r="N15" s="255">
        <f t="shared" si="1"/>
        <v>-19.35420076037023</v>
      </c>
    </row>
    <row r="16" spans="1:14" ht="15.75">
      <c r="A16" s="145">
        <v>11</v>
      </c>
      <c r="B16" s="180" t="s">
        <v>24</v>
      </c>
      <c r="C16" s="173">
        <f ca="1">+BCR!C16/'Aggregate As% of GSDP'!I16*100</f>
        <v>1.4551738543440322</v>
      </c>
      <c r="D16" s="173">
        <f ca="1">+BCR!D16/'Aggregate As% of GSDP'!J16*100</f>
        <v>0.53508255243195124</v>
      </c>
      <c r="E16" s="173">
        <f ca="1">+BCR!E16/'Aggregate As% of GSDP'!K16*100</f>
        <v>-1.8885329193423186</v>
      </c>
      <c r="F16" s="173">
        <f ca="1">+BCR!F16/'Aggregate As% of GSDP'!L16*100</f>
        <v>-0.41430996846956247</v>
      </c>
      <c r="G16" s="173">
        <f ca="1">+BCR!G16/'Aggregate As% of GSDP'!M16*100</f>
        <v>0.57380463440509977</v>
      </c>
      <c r="H16" s="251">
        <f t="shared" si="0"/>
        <v>5.2243630673840455E-2</v>
      </c>
      <c r="I16" s="173">
        <f ca="1">BCR!C16/'Aggregate As% of GSDP'!D16*100</f>
        <v>13.847783409530701</v>
      </c>
      <c r="J16" s="173">
        <f ca="1">BCR!D16/'Aggregate As% of GSDP'!E16*100</f>
        <v>7.3215451228502477</v>
      </c>
      <c r="K16" s="173">
        <f ca="1">BCR!E16/'Aggregate As% of GSDP'!F16*100</f>
        <v>-28.205221165593215</v>
      </c>
      <c r="L16" s="173">
        <f ca="1">BCR!F16/'Aggregate As% of GSDP'!G16*100</f>
        <v>-5.3315883061245763</v>
      </c>
      <c r="M16" s="173">
        <f ca="1">BCR!G16/'Aggregate As% of GSDP'!H16*100</f>
        <v>7.0034257876481556</v>
      </c>
      <c r="N16" s="255">
        <f t="shared" si="1"/>
        <v>-1.0728110303377376</v>
      </c>
    </row>
    <row r="17" spans="1:14" ht="15.75">
      <c r="A17" s="145"/>
      <c r="B17" s="179" t="s">
        <v>143</v>
      </c>
      <c r="C17" s="182">
        <f ca="1">+BCR!C17/'Aggregate As% of GSDP'!I17*100</f>
        <v>-1.1177565334635449</v>
      </c>
      <c r="D17" s="182">
        <f ca="1">+BCR!D17/'Aggregate As% of GSDP'!J17*100</f>
        <v>-1.286836821446014</v>
      </c>
      <c r="E17" s="182">
        <f ca="1">+BCR!E17/'Aggregate As% of GSDP'!K17*100</f>
        <v>-4.4002070539661275</v>
      </c>
      <c r="F17" s="182">
        <f ca="1">+BCR!F17/'Aggregate As% of GSDP'!L17*100</f>
        <v>-3.3256826009797043</v>
      </c>
      <c r="G17" s="182">
        <f ca="1">+BCR!G17/'Aggregate As% of GSDP'!M17*100</f>
        <v>-4.3897315846901224</v>
      </c>
      <c r="H17" s="251">
        <f t="shared" si="0"/>
        <v>-2.904042918909103</v>
      </c>
      <c r="I17" s="182">
        <f ca="1">BCR!C17/'Aggregate As% of GSDP'!D17*100</f>
        <v>-11.095572040973101</v>
      </c>
      <c r="J17" s="182">
        <f ca="1">BCR!D17/'Aggregate As% of GSDP'!E17*100</f>
        <v>-12.825966442917167</v>
      </c>
      <c r="K17" s="182">
        <f ca="1">BCR!E17/'Aggregate As% of GSDP'!F17*100</f>
        <v>-47.426208905008409</v>
      </c>
      <c r="L17" s="182">
        <f ca="1">BCR!F17/'Aggregate As% of GSDP'!G17*100</f>
        <v>-36.429005758634183</v>
      </c>
      <c r="M17" s="182">
        <f ca="1">BCR!G17/'Aggregate As% of GSDP'!H17*100</f>
        <v>-47.032830864749023</v>
      </c>
      <c r="N17" s="255">
        <f t="shared" si="1"/>
        <v>-30.961916802456379</v>
      </c>
    </row>
    <row r="18" spans="1:14" ht="15.75">
      <c r="A18" s="151" t="s">
        <v>140</v>
      </c>
      <c r="B18" s="179" t="s">
        <v>275</v>
      </c>
      <c r="C18" s="172"/>
      <c r="D18" s="172"/>
      <c r="E18" s="172"/>
      <c r="F18" s="172"/>
      <c r="G18" s="172"/>
      <c r="H18" s="245"/>
      <c r="I18" s="172"/>
      <c r="J18" s="172"/>
      <c r="K18" s="172"/>
      <c r="L18" s="172"/>
      <c r="M18" s="172"/>
      <c r="N18" s="254"/>
    </row>
    <row r="19" spans="1:14" ht="15.75">
      <c r="A19" s="145">
        <v>1</v>
      </c>
      <c r="B19" s="180" t="s">
        <v>27</v>
      </c>
      <c r="C19" s="173">
        <f ca="1">+BCR!C19/'Aggregate As% of GSDP'!I19*100</f>
        <v>2.3030758224076444</v>
      </c>
      <c r="D19" s="173">
        <f ca="1">+BCR!D19/'Aggregate As% of GSDP'!J19*100</f>
        <v>3.2404250582873479</v>
      </c>
      <c r="E19" s="173">
        <f ca="1">+BCR!E19/'Aggregate As% of GSDP'!K19*100</f>
        <v>2.1922000118268148</v>
      </c>
      <c r="F19" s="173">
        <f ca="1">+BCR!F19/'Aggregate As% of GSDP'!L19*100</f>
        <v>2.7443710385881626</v>
      </c>
      <c r="G19" s="173">
        <f ca="1">+BCR!G19/'Aggregate As% of GSDP'!M19*100</f>
        <v>2.3606403096783355</v>
      </c>
      <c r="H19" s="251">
        <f ca="1">+AVERAGE(C19:G19)</f>
        <v>2.5681424481576611</v>
      </c>
      <c r="I19" s="173">
        <f ca="1">BCR!C19/'Aggregate As% of GSDP'!D19*100</f>
        <v>30.91425682552228</v>
      </c>
      <c r="J19" s="173">
        <f ca="1">BCR!D19/'Aggregate As% of GSDP'!E19*100</f>
        <v>45.148709316292027</v>
      </c>
      <c r="K19" s="173">
        <f ca="1">BCR!E19/'Aggregate As% of GSDP'!F19*100</f>
        <v>36.560784213703343</v>
      </c>
      <c r="L19" s="173">
        <f ca="1">BCR!F19/'Aggregate As% of GSDP'!G19*100</f>
        <v>51.161257383381276</v>
      </c>
      <c r="M19" s="173">
        <f ca="1">BCR!G19/'Aggregate As% of GSDP'!H19*100</f>
        <v>39.712612318378795</v>
      </c>
      <c r="N19" s="255">
        <f>+AVERAGE(I19:M19)</f>
        <v>40.699524011455551</v>
      </c>
    </row>
    <row r="20" spans="1:14" ht="15.75">
      <c r="A20" s="145">
        <v>2</v>
      </c>
      <c r="B20" s="180" t="s">
        <v>28</v>
      </c>
      <c r="C20" s="173">
        <f ca="1">+BCR!C20/'Aggregate As% of GSDP'!I20*100</f>
        <v>4.5075914848698027</v>
      </c>
      <c r="D20" s="173">
        <f ca="1">+BCR!D20/'Aggregate As% of GSDP'!J20*100</f>
        <v>4.4544310825912463</v>
      </c>
      <c r="E20" s="173">
        <f ca="1">+BCR!E20/'Aggregate As% of GSDP'!K20*100</f>
        <v>3.6885409035409067</v>
      </c>
      <c r="F20" s="173">
        <f ca="1">+BCR!F20/'Aggregate As% of GSDP'!L20*100</f>
        <v>4.6776266249207321</v>
      </c>
      <c r="G20" s="173">
        <f ca="1">+BCR!G20/'Aggregate As% of GSDP'!M20*100</f>
        <v>2.8102275150973126</v>
      </c>
      <c r="H20" s="251">
        <f t="shared" ref="H20:H36" si="2">+AVERAGE(C20:G20)</f>
        <v>4.0276835222039997</v>
      </c>
      <c r="I20" s="173">
        <f ca="1">BCR!C20/'Aggregate As% of GSDP'!D20*100</f>
        <v>49.100628774129923</v>
      </c>
      <c r="J20" s="173">
        <f ca="1">BCR!D20/'Aggregate As% of GSDP'!E20*100</f>
        <v>46.284885907608711</v>
      </c>
      <c r="K20" s="173">
        <f ca="1">BCR!E20/'Aggregate As% of GSDP'!F20*100</f>
        <v>36.870755273697732</v>
      </c>
      <c r="L20" s="173">
        <f ca="1">BCR!F20/'Aggregate As% of GSDP'!G20*100</f>
        <v>48.892065946322667</v>
      </c>
      <c r="M20" s="173">
        <f ca="1">BCR!G20/'Aggregate As% of GSDP'!H20*100</f>
        <v>32.028247876595131</v>
      </c>
      <c r="N20" s="255">
        <f t="shared" ref="N20:N36" si="3">+AVERAGE(I20:M20)</f>
        <v>42.635316755670843</v>
      </c>
    </row>
    <row r="21" spans="1:14" ht="15.75">
      <c r="A21" s="145">
        <v>3</v>
      </c>
      <c r="B21" s="180" t="s">
        <v>29</v>
      </c>
      <c r="C21" s="173">
        <f ca="1">+BCR!C21/'Aggregate As% of GSDP'!I21*100</f>
        <v>5.7647872406703629</v>
      </c>
      <c r="D21" s="173">
        <f ca="1">+BCR!D21/'Aggregate As% of GSDP'!J21*100</f>
        <v>5.4410860867054405</v>
      </c>
      <c r="E21" s="173">
        <f ca="1">+BCR!E21/'Aggregate As% of GSDP'!K21*100</f>
        <v>5.4680240172472852</v>
      </c>
      <c r="F21" s="173">
        <f ca="1">+BCR!F21/'Aggregate As% of GSDP'!L21*100</f>
        <v>6.4770896595132994</v>
      </c>
      <c r="G21" s="173">
        <f ca="1">+BCR!G21/'Aggregate As% of GSDP'!M21*100</f>
        <v>5.7244127021603122</v>
      </c>
      <c r="H21" s="251">
        <f t="shared" si="2"/>
        <v>5.7750799412593405</v>
      </c>
      <c r="I21" s="173">
        <f ca="1">BCR!C21/'Aggregate As% of GSDP'!D21*100</f>
        <v>76.494328891240301</v>
      </c>
      <c r="J21" s="173">
        <f ca="1">BCR!D21/'Aggregate As% of GSDP'!E21*100</f>
        <v>80.50954655940869</v>
      </c>
      <c r="K21" s="173">
        <f ca="1">BCR!E21/'Aggregate As% of GSDP'!F21*100</f>
        <v>57.164839169353229</v>
      </c>
      <c r="L21" s="173">
        <f ca="1">BCR!F21/'Aggregate As% of GSDP'!G21*100</f>
        <v>67.185510716708848</v>
      </c>
      <c r="M21" s="173">
        <f ca="1">BCR!G21/'Aggregate As% of GSDP'!H21*100</f>
        <v>49.515890941279558</v>
      </c>
      <c r="N21" s="255">
        <f t="shared" si="3"/>
        <v>66.174023255598129</v>
      </c>
    </row>
    <row r="22" spans="1:14" ht="15.75">
      <c r="A22" s="145">
        <v>4</v>
      </c>
      <c r="B22" s="180" t="s">
        <v>30</v>
      </c>
      <c r="C22" s="173">
        <f ca="1">+BCR!C22/'Aggregate As% of GSDP'!I22*100</f>
        <v>3.075185279836437</v>
      </c>
      <c r="D22" s="173">
        <f ca="1">+BCR!D22/'Aggregate As% of GSDP'!J22*100</f>
        <v>2.101518847879122</v>
      </c>
      <c r="E22" s="173">
        <f ca="1">+BCR!E22/'Aggregate As% of GSDP'!K22*100</f>
        <v>3.5191924740781437</v>
      </c>
      <c r="F22" s="173">
        <f ca="1">+BCR!F22/'Aggregate As% of GSDP'!L22*100</f>
        <v>3.6634216749071018</v>
      </c>
      <c r="G22" s="173">
        <f ca="1">+BCR!G22/'Aggregate As% of GSDP'!M22*100</f>
        <v>4.1594217273954097</v>
      </c>
      <c r="H22" s="251">
        <f t="shared" si="2"/>
        <v>3.303748000819243</v>
      </c>
      <c r="I22" s="173">
        <f ca="1">BCR!C22/'Aggregate As% of GSDP'!D22*100</f>
        <v>47.559047649160554</v>
      </c>
      <c r="J22" s="173">
        <f ca="1">BCR!D22/'Aggregate As% of GSDP'!E22*100</f>
        <v>32.889944554073843</v>
      </c>
      <c r="K22" s="173">
        <f ca="1">BCR!E22/'Aggregate As% of GSDP'!F22*100</f>
        <v>45.978352046148821</v>
      </c>
      <c r="L22" s="173">
        <f ca="1">BCR!F22/'Aggregate As% of GSDP'!G22*100</f>
        <v>48.832125752179778</v>
      </c>
      <c r="M22" s="173">
        <f ca="1">BCR!G22/'Aggregate As% of GSDP'!H22*100</f>
        <v>56.208591359182279</v>
      </c>
      <c r="N22" s="255">
        <f t="shared" si="3"/>
        <v>46.293612272149048</v>
      </c>
    </row>
    <row r="23" spans="1:14" ht="15.75">
      <c r="A23" s="145">
        <v>5</v>
      </c>
      <c r="B23" s="180" t="s">
        <v>31</v>
      </c>
      <c r="C23" s="173">
        <f ca="1">+BCR!C23/'Aggregate As% of GSDP'!I23*100</f>
        <v>2.2636955828537606</v>
      </c>
      <c r="D23" s="173">
        <f ca="1">+BCR!D23/'Aggregate As% of GSDP'!J23*100</f>
        <v>2.2525033160103503</v>
      </c>
      <c r="E23" s="173">
        <f ca="1">+BCR!E23/'Aggregate As% of GSDP'!K23*100</f>
        <v>0.87829869841306774</v>
      </c>
      <c r="F23" s="173">
        <f ca="1">+BCR!F23/'Aggregate As% of GSDP'!L23*100</f>
        <v>1.7640308433997891</v>
      </c>
      <c r="G23" s="173">
        <f ca="1">+BCR!G23/'Aggregate As% of GSDP'!M23*100</f>
        <v>2.4268745862214312</v>
      </c>
      <c r="H23" s="251">
        <f t="shared" si="2"/>
        <v>1.9170806053796798</v>
      </c>
      <c r="I23" s="173">
        <f ca="1">BCR!C23/'Aggregate As% of GSDP'!D23*100</f>
        <v>47.281657228108656</v>
      </c>
      <c r="J23" s="173">
        <f ca="1">BCR!D23/'Aggregate As% of GSDP'!E23*100</f>
        <v>37.770830807599715</v>
      </c>
      <c r="K23" s="173">
        <f ca="1">BCR!E23/'Aggregate As% of GSDP'!F23*100</f>
        <v>16.629092775406409</v>
      </c>
      <c r="L23" s="173">
        <f ca="1">BCR!F23/'Aggregate As% of GSDP'!G23*100</f>
        <v>32.854553076123224</v>
      </c>
      <c r="M23" s="173">
        <f ca="1">BCR!G23/'Aggregate As% of GSDP'!H23*100</f>
        <v>35.572404261043587</v>
      </c>
      <c r="N23" s="255">
        <f t="shared" si="3"/>
        <v>34.021707629656319</v>
      </c>
    </row>
    <row r="24" spans="1:14" ht="15.75">
      <c r="A24" s="145">
        <v>6</v>
      </c>
      <c r="B24" s="180" t="s">
        <v>32</v>
      </c>
      <c r="C24" s="173">
        <f ca="1">+BCR!C24/'Aggregate As% of GSDP'!I24*100</f>
        <v>2.8032758768544719</v>
      </c>
      <c r="D24" s="173">
        <f ca="1">+BCR!D24/'Aggregate As% of GSDP'!J24*100</f>
        <v>0.28764638510310658</v>
      </c>
      <c r="E24" s="173">
        <f ca="1">+BCR!E24/'Aggregate As% of GSDP'!K24*100</f>
        <v>-8.4949925525681341E-2</v>
      </c>
      <c r="F24" s="173">
        <f ca="1">+BCR!F24/'Aggregate As% of GSDP'!L24*100</f>
        <v>0.84112131830665782</v>
      </c>
      <c r="G24" s="173">
        <f ca="1">+BCR!G24/'Aggregate As% of GSDP'!M24*100</f>
        <v>0.80136465302661009</v>
      </c>
      <c r="H24" s="251">
        <f t="shared" si="2"/>
        <v>0.92969166155303284</v>
      </c>
      <c r="I24" s="173">
        <f ca="1">BCR!C24/'Aggregate As% of GSDP'!D24*100</f>
        <v>39.680006722940163</v>
      </c>
      <c r="J24" s="173">
        <f ca="1">BCR!D24/'Aggregate As% of GSDP'!E24*100</f>
        <v>3.7901626181221615</v>
      </c>
      <c r="K24" s="173">
        <f ca="1">BCR!E24/'Aggregate As% of GSDP'!F24*100</f>
        <v>-1.0036818932974958</v>
      </c>
      <c r="L24" s="173">
        <f ca="1">BCR!F24/'Aggregate As% of GSDP'!G24*100</f>
        <v>14.122647947991048</v>
      </c>
      <c r="M24" s="173">
        <f ca="1">BCR!G24/'Aggregate As% of GSDP'!H24*100</f>
        <v>12.299694514728523</v>
      </c>
      <c r="N24" s="255">
        <f t="shared" si="3"/>
        <v>13.777765982096881</v>
      </c>
    </row>
    <row r="25" spans="1:14" ht="15.75">
      <c r="A25" s="145">
        <v>7</v>
      </c>
      <c r="B25" s="180" t="s">
        <v>33</v>
      </c>
      <c r="C25" s="173">
        <f ca="1">+BCR!C25/'Aggregate As% of GSDP'!I25*100</f>
        <v>3.461834425253127</v>
      </c>
      <c r="D25" s="173">
        <f ca="1">+BCR!D25/'Aggregate As% of GSDP'!J25*100</f>
        <v>3.4707269289473084</v>
      </c>
      <c r="E25" s="173">
        <f ca="1">+BCR!E25/'Aggregate As% of GSDP'!K25*100</f>
        <v>2.0735134812812435</v>
      </c>
      <c r="F25" s="173">
        <f ca="1">+BCR!F25/'Aggregate As% of GSDP'!L25*100</f>
        <v>3.4745748041718962</v>
      </c>
      <c r="G25" s="173">
        <f ca="1">+BCR!G25/'Aggregate As% of GSDP'!M25*100</f>
        <v>4.5354124363051245</v>
      </c>
      <c r="H25" s="251">
        <f t="shared" si="2"/>
        <v>3.40321241519174</v>
      </c>
      <c r="I25" s="173">
        <f ca="1">BCR!C25/'Aggregate As% of GSDP'!D25*100</f>
        <v>52.607846438184815</v>
      </c>
      <c r="J25" s="173">
        <f ca="1">BCR!D25/'Aggregate As% of GSDP'!E25*100</f>
        <v>45.700431794082675</v>
      </c>
      <c r="K25" s="173">
        <f ca="1">BCR!E25/'Aggregate As% of GSDP'!F25*100</f>
        <v>30.925104386067638</v>
      </c>
      <c r="L25" s="173">
        <f ca="1">BCR!F25/'Aggregate As% of GSDP'!G25*100</f>
        <v>47.08679604882154</v>
      </c>
      <c r="M25" s="173">
        <f ca="1">BCR!G25/'Aggregate As% of GSDP'!H25*100</f>
        <v>38.685882352941178</v>
      </c>
      <c r="N25" s="255">
        <f t="shared" si="3"/>
        <v>43.001212204019566</v>
      </c>
    </row>
    <row r="26" spans="1:14" ht="15.75">
      <c r="A26" s="145">
        <v>8</v>
      </c>
      <c r="B26" s="180" t="s">
        <v>34</v>
      </c>
      <c r="C26" s="173">
        <f ca="1">+BCR!C26/'Aggregate As% of GSDP'!I26*100</f>
        <v>3.1571339361265793</v>
      </c>
      <c r="D26" s="173">
        <f ca="1">+BCR!D26/'Aggregate As% of GSDP'!J26*100</f>
        <v>2.7330564108668076</v>
      </c>
      <c r="E26" s="173">
        <f ca="1">+BCR!E26/'Aggregate As% of GSDP'!K26*100</f>
        <v>2.7962682809256405</v>
      </c>
      <c r="F26" s="173">
        <f ca="1">+BCR!F26/'Aggregate As% of GSDP'!L26*100</f>
        <v>3.6930221081462995</v>
      </c>
      <c r="G26" s="173">
        <f ca="1">+BCR!G26/'Aggregate As% of GSDP'!M26*100</f>
        <v>3.5686268590362511</v>
      </c>
      <c r="H26" s="251">
        <f t="shared" si="2"/>
        <v>3.1896215190203159</v>
      </c>
      <c r="I26" s="173">
        <f ca="1">BCR!C26/'Aggregate As% of GSDP'!D26*100</f>
        <v>50.026787141469484</v>
      </c>
      <c r="J26" s="173">
        <f ca="1">BCR!D26/'Aggregate As% of GSDP'!E26*100</f>
        <v>36.833277060743434</v>
      </c>
      <c r="K26" s="173">
        <f ca="1">BCR!E26/'Aggregate As% of GSDP'!F26*100</f>
        <v>35.011773670347964</v>
      </c>
      <c r="L26" s="173">
        <f ca="1">BCR!F26/'Aggregate As% of GSDP'!G26*100</f>
        <v>47.33828461127645</v>
      </c>
      <c r="M26" s="173">
        <f ca="1">BCR!G26/'Aggregate As% of GSDP'!H26*100</f>
        <v>43.539188908976456</v>
      </c>
      <c r="N26" s="255">
        <f t="shared" si="3"/>
        <v>42.549862278562756</v>
      </c>
    </row>
    <row r="27" spans="1:14" ht="15.75">
      <c r="A27" s="145">
        <v>9</v>
      </c>
      <c r="B27" s="180" t="s">
        <v>35</v>
      </c>
      <c r="C27" s="173">
        <f ca="1">+BCR!C27/'Aggregate As% of GSDP'!I27*100</f>
        <v>-1.6967471922622344</v>
      </c>
      <c r="D27" s="173">
        <f ca="1">+BCR!D27/'Aggregate As% of GSDP'!J27*100</f>
        <v>-1.2980979817341698</v>
      </c>
      <c r="E27" s="173">
        <f ca="1">+BCR!E27/'Aggregate As% of GSDP'!K27*100</f>
        <v>-1.0464969167014515</v>
      </c>
      <c r="F27" s="173">
        <f ca="1">+BCR!F27/'Aggregate As% of GSDP'!L27*100</f>
        <v>-0.43886395881543827</v>
      </c>
      <c r="G27" s="173">
        <f ca="1">+BCR!G27/'Aggregate As% of GSDP'!M27*100</f>
        <v>-1.5422518127585563</v>
      </c>
      <c r="H27" s="251">
        <f t="shared" si="2"/>
        <v>-1.2044915724543699</v>
      </c>
      <c r="I27" s="173">
        <f ca="1">BCR!C27/'Aggregate As% of GSDP'!D27*100</f>
        <v>-51.100438318192474</v>
      </c>
      <c r="J27" s="173">
        <f ca="1">BCR!D27/'Aggregate As% of GSDP'!E27*100</f>
        <v>-39.350158444889885</v>
      </c>
      <c r="K27" s="173">
        <f ca="1">BCR!E27/'Aggregate As% of GSDP'!F27*100</f>
        <v>-28.473311758562382</v>
      </c>
      <c r="L27" s="173">
        <f ca="1">BCR!F27/'Aggregate As% of GSDP'!G27*100</f>
        <v>-13.153074197300436</v>
      </c>
      <c r="M27" s="173">
        <f ca="1">BCR!G27/'Aggregate As% of GSDP'!H27*100</f>
        <v>-51.769476371667665</v>
      </c>
      <c r="N27" s="255">
        <f t="shared" si="3"/>
        <v>-36.769291818122568</v>
      </c>
    </row>
    <row r="28" spans="1:14" ht="15.75">
      <c r="A28" s="145">
        <v>10</v>
      </c>
      <c r="B28" s="180" t="s">
        <v>36</v>
      </c>
      <c r="C28" s="173">
        <f ca="1">+BCR!C28/'Aggregate As% of GSDP'!I28*100</f>
        <v>4.6462264443054524</v>
      </c>
      <c r="D28" s="173">
        <f ca="1">+BCR!D28/'Aggregate As% of GSDP'!J28*100</f>
        <v>3.4205884142014233</v>
      </c>
      <c r="E28" s="173">
        <f ca="1">+BCR!E28/'Aggregate As% of GSDP'!K28*100</f>
        <v>4.5512097340164228</v>
      </c>
      <c r="F28" s="173">
        <f ca="1">+BCR!F28/'Aggregate As% of GSDP'!L28*100</f>
        <v>4.5723820386093861</v>
      </c>
      <c r="G28" s="173">
        <f ca="1">+BCR!G28/'Aggregate As% of GSDP'!M28*100</f>
        <v>3.7010054314223475</v>
      </c>
      <c r="H28" s="251">
        <f t="shared" si="2"/>
        <v>4.178282412511007</v>
      </c>
      <c r="I28" s="173">
        <f ca="1">BCR!C28/'Aggregate As% of GSDP'!D28*100</f>
        <v>69.561170175778557</v>
      </c>
      <c r="J28" s="173">
        <f ca="1">BCR!D28/'Aggregate As% of GSDP'!E28*100</f>
        <v>56.47419577832791</v>
      </c>
      <c r="K28" s="173">
        <f ca="1">BCR!E28/'Aggregate As% of GSDP'!F28*100</f>
        <v>71.259831163586711</v>
      </c>
      <c r="L28" s="173">
        <f ca="1">BCR!F28/'Aggregate As% of GSDP'!G28*100</f>
        <v>62.692091814437703</v>
      </c>
      <c r="M28" s="173">
        <f ca="1">BCR!G28/'Aggregate As% of GSDP'!H28*100</f>
        <v>41.146287736263083</v>
      </c>
      <c r="N28" s="255">
        <f t="shared" si="3"/>
        <v>60.226715333678804</v>
      </c>
    </row>
    <row r="29" spans="1:14" ht="15.75">
      <c r="A29" s="145">
        <v>11</v>
      </c>
      <c r="B29" s="180" t="s">
        <v>37</v>
      </c>
      <c r="C29" s="173">
        <f ca="1">+BCR!C29/'Aggregate As% of GSDP'!I29*100</f>
        <v>1.3891008005843852</v>
      </c>
      <c r="D29" s="173">
        <f ca="1">+BCR!D29/'Aggregate As% of GSDP'!J29*100</f>
        <v>1.4161746001105333</v>
      </c>
      <c r="E29" s="173">
        <f ca="1">+BCR!E29/'Aggregate As% of GSDP'!K29*100</f>
        <v>0.26791186357937713</v>
      </c>
      <c r="F29" s="173">
        <f ca="1">+BCR!F29/'Aggregate As% of GSDP'!L29*100</f>
        <v>0.52429680435810844</v>
      </c>
      <c r="G29" s="173">
        <f ca="1">+BCR!G29/'Aggregate As% of GSDP'!M29*100</f>
        <v>1.3411796302980084</v>
      </c>
      <c r="H29" s="251">
        <f t="shared" si="2"/>
        <v>0.98773273978608245</v>
      </c>
      <c r="I29" s="173">
        <f ca="1">BCR!C29/'Aggregate As% of GSDP'!D29*100</f>
        <v>50.544778942788071</v>
      </c>
      <c r="J29" s="173">
        <f ca="1">BCR!D29/'Aggregate As% of GSDP'!E29*100</f>
        <v>45.98505862649445</v>
      </c>
      <c r="K29" s="173">
        <f ca="1">BCR!E29/'Aggregate As% of GSDP'!F29*100</f>
        <v>8.0686384087062759</v>
      </c>
      <c r="L29" s="173">
        <f ca="1">BCR!F29/'Aggregate As% of GSDP'!G29*100</f>
        <v>16.330152672333032</v>
      </c>
      <c r="M29" s="173">
        <f ca="1">BCR!G29/'Aggregate As% of GSDP'!H29*100</f>
        <v>37.690404761904766</v>
      </c>
      <c r="N29" s="255">
        <f t="shared" si="3"/>
        <v>31.723806682445321</v>
      </c>
    </row>
    <row r="30" spans="1:14" ht="15.75">
      <c r="A30" s="145">
        <v>12</v>
      </c>
      <c r="B30" s="180" t="s">
        <v>104</v>
      </c>
      <c r="C30" s="173">
        <f ca="1">+BCR!C30/'Aggregate As% of GSDP'!I30*100</f>
        <v>3.7706237139718741</v>
      </c>
      <c r="D30" s="173">
        <f ca="1">+BCR!D30/'Aggregate As% of GSDP'!J30*100</f>
        <v>2.9308481322100328</v>
      </c>
      <c r="E30" s="173">
        <f ca="1">+BCR!E30/'Aggregate As% of GSDP'!K30*100</f>
        <v>1.5999189870943737</v>
      </c>
      <c r="F30" s="173">
        <f ca="1">+BCR!F30/'Aggregate As% of GSDP'!L30*100</f>
        <v>3.2835285189818895</v>
      </c>
      <c r="G30" s="173">
        <f ca="1">+BCR!G30/'Aggregate As% of GSDP'!M30*100</f>
        <v>1.6862126275217029</v>
      </c>
      <c r="H30" s="251">
        <f t="shared" si="2"/>
        <v>2.6542263959559742</v>
      </c>
      <c r="I30" s="173">
        <f ca="1">BCR!C30/'Aggregate As% of GSDP'!D30*100</f>
        <v>81.915173117287537</v>
      </c>
      <c r="J30" s="173">
        <f ca="1">BCR!D30/'Aggregate As% of GSDP'!E30*100</f>
        <v>55.798748387725425</v>
      </c>
      <c r="K30" s="173">
        <f ca="1">BCR!E30/'Aggregate As% of GSDP'!F30*100</f>
        <v>27.854124527479357</v>
      </c>
      <c r="L30" s="173">
        <f ca="1">BCR!F30/'Aggregate As% of GSDP'!G30*100</f>
        <v>56.983956077203032</v>
      </c>
      <c r="M30" s="173">
        <f ca="1">BCR!G30/'Aggregate As% of GSDP'!H30*100</f>
        <v>25.0975</v>
      </c>
      <c r="N30" s="255">
        <f t="shared" si="3"/>
        <v>49.529900421939068</v>
      </c>
    </row>
    <row r="31" spans="1:14" ht="15.75">
      <c r="A31" s="145">
        <v>13</v>
      </c>
      <c r="B31" s="180" t="s">
        <v>39</v>
      </c>
      <c r="C31" s="173">
        <f ca="1">+BCR!C31/'Aggregate As% of GSDP'!I31*100</f>
        <v>-2.4177148674833329</v>
      </c>
      <c r="D31" s="173">
        <f ca="1">+BCR!D31/'Aggregate As% of GSDP'!J31*100</f>
        <v>-2.1059130424789849</v>
      </c>
      <c r="E31" s="173">
        <f ca="1">+BCR!E31/'Aggregate As% of GSDP'!K31*100</f>
        <v>-2.9082074468353221</v>
      </c>
      <c r="F31" s="173">
        <f ca="1">+BCR!F31/'Aggregate As% of GSDP'!L31*100</f>
        <v>-1.9557639737748651</v>
      </c>
      <c r="G31" s="173">
        <f ca="1">+BCR!G31/'Aggregate As% of GSDP'!M31*100</f>
        <v>-3.3248516920995077</v>
      </c>
      <c r="H31" s="251">
        <f t="shared" si="2"/>
        <v>-2.5424902045344022</v>
      </c>
      <c r="I31" s="173">
        <f ca="1">BCR!C31/'Aggregate As% of GSDP'!D31*100</f>
        <v>-72.179048986098977</v>
      </c>
      <c r="J31" s="173">
        <f ca="1">BCR!D31/'Aggregate As% of GSDP'!E31*100</f>
        <v>-55.331518695151338</v>
      </c>
      <c r="K31" s="173">
        <f ca="1">BCR!E31/'Aggregate As% of GSDP'!F31*100</f>
        <v>-122.79546504178886</v>
      </c>
      <c r="L31" s="173">
        <f ca="1">BCR!F31/'Aggregate As% of GSDP'!G31*100</f>
        <v>-57.659208938266424</v>
      </c>
      <c r="M31" s="173">
        <f ca="1">BCR!G31/'Aggregate As% of GSDP'!H31*100</f>
        <v>-117.18438608942509</v>
      </c>
      <c r="N31" s="255">
        <f t="shared" si="3"/>
        <v>-85.029925550146146</v>
      </c>
    </row>
    <row r="32" spans="1:14" ht="15.75">
      <c r="A32" s="145">
        <v>14</v>
      </c>
      <c r="B32" s="180" t="s">
        <v>40</v>
      </c>
      <c r="C32" s="173">
        <f ca="1">+BCR!C32/'Aggregate As% of GSDP'!I32*100</f>
        <v>1.3644608925070063</v>
      </c>
      <c r="D32" s="173">
        <f ca="1">+BCR!D32/'Aggregate As% of GSDP'!J32*100</f>
        <v>0.20406669870837321</v>
      </c>
      <c r="E32" s="173">
        <f ca="1">+BCR!E32/'Aggregate As% of GSDP'!K32*100</f>
        <v>-0.74843689460529206</v>
      </c>
      <c r="F32" s="173">
        <f ca="1">+BCR!F32/'Aggregate As% of GSDP'!L32*100</f>
        <v>1.6039847751805776</v>
      </c>
      <c r="G32" s="173">
        <f ca="1">+BCR!G32/'Aggregate As% of GSDP'!M32*100</f>
        <v>1.6870764552562978</v>
      </c>
      <c r="H32" s="251">
        <f t="shared" si="2"/>
        <v>0.82223038540939264</v>
      </c>
      <c r="I32" s="173">
        <f ca="1">BCR!C32/'Aggregate As% of GSDP'!D32*100</f>
        <v>21.037024726677021</v>
      </c>
      <c r="J32" s="173">
        <f ca="1">BCR!D32/'Aggregate As% of GSDP'!E32*100</f>
        <v>3.2377735901165146</v>
      </c>
      <c r="K32" s="173">
        <f ca="1">BCR!E32/'Aggregate As% of GSDP'!F32*100</f>
        <v>-10.96978898555953</v>
      </c>
      <c r="L32" s="173">
        <f ca="1">BCR!F32/'Aggregate As% of GSDP'!G32*100</f>
        <v>23.950932007680073</v>
      </c>
      <c r="M32" s="173">
        <f ca="1">BCR!G32/'Aggregate As% of GSDP'!H32*100</f>
        <v>22.274606294978717</v>
      </c>
      <c r="N32" s="255">
        <f t="shared" si="3"/>
        <v>11.906109526778559</v>
      </c>
    </row>
    <row r="33" spans="1:14" ht="15.75">
      <c r="A33" s="145">
        <v>15</v>
      </c>
      <c r="B33" s="180" t="s">
        <v>41</v>
      </c>
      <c r="C33" s="173">
        <f ca="1">+BCR!C33/'Aggregate As% of GSDP'!I33*100</f>
        <v>2.8123163226621135</v>
      </c>
      <c r="D33" s="173">
        <f ca="1">+BCR!D33/'Aggregate As% of GSDP'!J33*100</f>
        <v>1.8186581816732135</v>
      </c>
      <c r="E33" s="173">
        <f ca="1">+BCR!E33/'Aggregate As% of GSDP'!K33*100</f>
        <v>1.1242433085966832</v>
      </c>
      <c r="F33" s="173">
        <f ca="1">+BCR!F33/'Aggregate As% of GSDP'!L33*100</f>
        <v>1.2978644897267408</v>
      </c>
      <c r="G33" s="173">
        <f ca="1">+BCR!G33/'Aggregate As% of GSDP'!M33*100</f>
        <v>0.79183756504049141</v>
      </c>
      <c r="H33" s="251">
        <f t="shared" si="2"/>
        <v>1.5689839735398485</v>
      </c>
      <c r="I33" s="173">
        <f ca="1">BCR!C33/'Aggregate As% of GSDP'!D33*100</f>
        <v>69.3610549024188</v>
      </c>
      <c r="J33" s="173">
        <f ca="1">BCR!D33/'Aggregate As% of GSDP'!E33*100</f>
        <v>44.847220600795126</v>
      </c>
      <c r="K33" s="173">
        <f ca="1">BCR!E33/'Aggregate As% of GSDP'!F33*100</f>
        <v>30.242038588007347</v>
      </c>
      <c r="L33" s="173">
        <f ca="1">BCR!F33/'Aggregate As% of GSDP'!G33*100</f>
        <v>35.922172592215794</v>
      </c>
      <c r="M33" s="173">
        <f ca="1">BCR!G33/'Aggregate As% of GSDP'!H33*100</f>
        <v>21.500063734862973</v>
      </c>
      <c r="N33" s="255">
        <f t="shared" si="3"/>
        <v>40.374510083660013</v>
      </c>
    </row>
    <row r="34" spans="1:14" ht="15.75">
      <c r="A34" s="145">
        <v>16</v>
      </c>
      <c r="B34" s="180" t="s">
        <v>42</v>
      </c>
      <c r="C34" s="173">
        <f ca="1">+BCR!C34/'Aggregate As% of GSDP'!I34*100</f>
        <v>2.4245612569381714</v>
      </c>
      <c r="D34" s="173">
        <f ca="1">+BCR!D34/'Aggregate As% of GSDP'!J34*100</f>
        <v>2.3848297109189653</v>
      </c>
      <c r="E34" s="173">
        <f ca="1">+BCR!E34/'Aggregate As% of GSDP'!K34*100</f>
        <v>1.7613825108516348</v>
      </c>
      <c r="F34" s="173">
        <f ca="1">+BCR!F34/'Aggregate As% of GSDP'!L34*100</f>
        <v>1.574512697056768</v>
      </c>
      <c r="G34" s="173">
        <f ca="1">+BCR!G34/'Aggregate As% of GSDP'!M34*100</f>
        <v>2.0184273576840992</v>
      </c>
      <c r="H34" s="251">
        <f t="shared" si="2"/>
        <v>2.0327427066899277</v>
      </c>
      <c r="I34" s="173">
        <f ca="1">BCR!C34/'Aggregate As% of GSDP'!D34*100</f>
        <v>36.780437418957256</v>
      </c>
      <c r="J34" s="173">
        <f ca="1">BCR!D34/'Aggregate As% of GSDP'!E34*100</f>
        <v>30.475788154796025</v>
      </c>
      <c r="K34" s="173">
        <f ca="1">BCR!E34/'Aggregate As% of GSDP'!F34*100</f>
        <v>27.434035609889822</v>
      </c>
      <c r="L34" s="173">
        <f ca="1">BCR!F34/'Aggregate As% of GSDP'!G34*100</f>
        <v>24.79500875959776</v>
      </c>
      <c r="M34" s="173">
        <f ca="1">BCR!G34/'Aggregate As% of GSDP'!H34*100</f>
        <v>29.539297872340427</v>
      </c>
      <c r="N34" s="255">
        <f t="shared" si="3"/>
        <v>29.804913563116259</v>
      </c>
    </row>
    <row r="35" spans="1:14" ht="15.75">
      <c r="A35" s="145">
        <v>17</v>
      </c>
      <c r="B35" s="180" t="s">
        <v>43</v>
      </c>
      <c r="C35" s="173">
        <f ca="1">+BCR!C35/'Aggregate As% of GSDP'!I35*100</f>
        <v>-1.6754707278877241</v>
      </c>
      <c r="D35" s="173">
        <f ca="1">+BCR!D35/'Aggregate As% of GSDP'!J35*100</f>
        <v>-3.4495002076375529</v>
      </c>
      <c r="E35" s="173">
        <f ca="1">+BCR!E35/'Aggregate As% of GSDP'!K35*100</f>
        <v>-4.1047418990156244</v>
      </c>
      <c r="F35" s="173">
        <f ca="1">+BCR!F35/'Aggregate As% of GSDP'!L35*100</f>
        <v>-2.3267097541616657</v>
      </c>
      <c r="G35" s="173">
        <f ca="1">+BCR!G35/'Aggregate As% of GSDP'!M35*100</f>
        <v>-1.3436702573552493</v>
      </c>
      <c r="H35" s="251">
        <f t="shared" si="2"/>
        <v>-2.5800185692115631</v>
      </c>
      <c r="I35" s="173">
        <f ca="1">BCR!C35/'Aggregate As% of GSDP'!D35*100</f>
        <v>-68.221741223049065</v>
      </c>
      <c r="J35" s="173">
        <f ca="1">BCR!D35/'Aggregate As% of GSDP'!E35*100</f>
        <v>-134.76434813705299</v>
      </c>
      <c r="K35" s="173">
        <f ca="1">BCR!E35/'Aggregate As% of GSDP'!F35*100</f>
        <v>-133.96871341464913</v>
      </c>
      <c r="L35" s="173">
        <f ca="1">BCR!F35/'Aggregate As% of GSDP'!G35*100</f>
        <v>-79.402324932794215</v>
      </c>
      <c r="M35" s="173">
        <f ca="1">BCR!G35/'Aggregate As% of GSDP'!H35*100</f>
        <v>-32.759205906185286</v>
      </c>
      <c r="N35" s="255">
        <f t="shared" si="3"/>
        <v>-89.823266722746141</v>
      </c>
    </row>
    <row r="36" spans="1:14" ht="15.75">
      <c r="A36" s="145"/>
      <c r="B36" s="179" t="s">
        <v>139</v>
      </c>
      <c r="C36" s="182">
        <f ca="1">+BCR!C36/'Aggregate As% of GSDP'!I36*100</f>
        <v>1.8750201786567007</v>
      </c>
      <c r="D36" s="182">
        <f ca="1">+BCR!D36/'Aggregate As% of GSDP'!J36*100</f>
        <v>1.5075902069695346</v>
      </c>
      <c r="E36" s="182">
        <f ca="1">+BCR!E36/'Aggregate As% of GSDP'!K36*100</f>
        <v>0.79468759483720741</v>
      </c>
      <c r="F36" s="182">
        <f ca="1">+BCR!F36/'Aggregate As% of GSDP'!L36*100</f>
        <v>1.5161292059697573</v>
      </c>
      <c r="G36" s="182">
        <f ca="1">+BCR!G36/'Aggregate As% of GSDP'!M36*100</f>
        <v>1.5093086937812008</v>
      </c>
      <c r="H36" s="251">
        <f t="shared" si="2"/>
        <v>1.4405471760428803</v>
      </c>
      <c r="I36" s="182">
        <f ca="1">BCR!C36/'Aggregate As% of GSDP'!D36*100</f>
        <v>36.969340813058317</v>
      </c>
      <c r="J36" s="182">
        <f ca="1">BCR!D36/'Aggregate As% of GSDP'!E36*100</f>
        <v>27.505315444174244</v>
      </c>
      <c r="K36" s="182">
        <f ca="1">BCR!E36/'Aggregate As% of GSDP'!F36*100</f>
        <v>14.853272553916447</v>
      </c>
      <c r="L36" s="182">
        <f ca="1">BCR!F36/'Aggregate As% of GSDP'!G36*100</f>
        <v>29.105157621948713</v>
      </c>
      <c r="M36" s="182">
        <f ca="1">BCR!G36/'Aggregate As% of GSDP'!H36*100</f>
        <v>25.77444228915617</v>
      </c>
      <c r="N36" s="255">
        <f t="shared" si="3"/>
        <v>26.841505744450775</v>
      </c>
    </row>
    <row r="37" spans="1:14" ht="15.75">
      <c r="A37" s="145"/>
      <c r="B37" s="179" t="s">
        <v>175</v>
      </c>
      <c r="C37" s="182">
        <f ca="1">+BCR!C37/'Aggregate As% of GSDP'!I37*100</f>
        <v>1.7061775719814622</v>
      </c>
      <c r="D37" s="182">
        <f ca="1">+BCR!D37/'Aggregate As% of GSDP'!J37*100</f>
        <v>1.3471430056794529</v>
      </c>
      <c r="E37" s="182">
        <f ca="1">+BCR!E37/'Aggregate As% of GSDP'!K37*100</f>
        <v>0.49197593917416826</v>
      </c>
      <c r="F37" s="182">
        <f ca="1">+BCR!F37/'Aggregate As% of GSDP'!L37*100</f>
        <v>1.2418050027771843</v>
      </c>
      <c r="G37" s="182">
        <f ca="1">+BCR!G37/'Aggregate As% of GSDP'!M37*100</f>
        <v>1.1810853146222606</v>
      </c>
      <c r="H37" s="251">
        <f ca="1">+AVERAGE(C37:G37)</f>
        <v>1.1936373668469056</v>
      </c>
      <c r="I37" s="182">
        <f ca="1">BCR!C37/'Aggregate As% of GSDP'!D37*100</f>
        <v>31.867193436450258</v>
      </c>
      <c r="J37" s="182">
        <f ca="1">BCR!D37/'Aggregate As% of GSDP'!E37*100</f>
        <v>23.459390655016424</v>
      </c>
      <c r="K37" s="182">
        <f ca="1">BCR!E37/'Aggregate As% of GSDP'!F37*100</f>
        <v>8.8181531787762371</v>
      </c>
      <c r="L37" s="182">
        <f ca="1">BCR!F37/'Aggregate As% of GSDP'!G37*100</f>
        <v>22.864100291112848</v>
      </c>
      <c r="M37" s="182">
        <f ca="1">BCR!G37/'Aggregate As% of GSDP'!H37*100</f>
        <v>19.52425572920767</v>
      </c>
      <c r="N37" s="255">
        <f>+AVERAGE(I37:M37)</f>
        <v>21.30661865811269</v>
      </c>
    </row>
    <row r="38" spans="1:14" ht="15.75">
      <c r="A38" s="151" t="s">
        <v>271</v>
      </c>
      <c r="B38" s="179" t="s">
        <v>273</v>
      </c>
      <c r="C38" s="182"/>
      <c r="D38" s="182"/>
      <c r="E38" s="182"/>
      <c r="F38" s="182"/>
      <c r="G38" s="182"/>
      <c r="H38" s="251"/>
      <c r="I38" s="173"/>
      <c r="J38" s="173"/>
      <c r="K38" s="173"/>
      <c r="L38" s="173"/>
      <c r="M38" s="173"/>
      <c r="N38" s="254"/>
    </row>
    <row r="39" spans="1:14" ht="15.75">
      <c r="A39" s="145">
        <v>1</v>
      </c>
      <c r="B39" s="180" t="s">
        <v>145</v>
      </c>
      <c r="C39" s="173">
        <f ca="1">+BCR!C39/'Aggregate As% of GSDP'!I39*100</f>
        <v>4.8701906335669554</v>
      </c>
      <c r="D39" s="173">
        <f ca="1">+BCR!D39/'Aggregate As% of GSDP'!J39*100</f>
        <v>4.0459022966976725</v>
      </c>
      <c r="E39" s="173">
        <f ca="1">+BCR!E39/'Aggregate As% of GSDP'!K39*100</f>
        <v>4.3305029071456342</v>
      </c>
      <c r="F39" s="173">
        <f ca="1">+BCR!F39/'Aggregate As% of GSDP'!L39*100</f>
        <v>5.0012552174702085</v>
      </c>
      <c r="G39" s="173">
        <f ca="1">+BCR!G39/'Aggregate As% of GSDP'!M39*100</f>
        <v>2.9438289576790027</v>
      </c>
      <c r="H39" s="251">
        <f ca="1">+AVERAGE(C39:G39)</f>
        <v>4.238336002511895</v>
      </c>
      <c r="I39" s="173">
        <f ca="1">BCR!C39/'Aggregate As% of GSDP'!D39*100</f>
        <v>87.938086388853705</v>
      </c>
      <c r="J39" s="173">
        <f ca="1">BCR!D39/'Aggregate As% of GSDP'!E39*100</f>
        <v>79.716282586504121</v>
      </c>
      <c r="K39" s="173">
        <f ca="1">BCR!E39/'Aggregate As% of GSDP'!F39*100</f>
        <v>87.706039688383868</v>
      </c>
      <c r="L39" s="173">
        <f ca="1">BCR!F39/'Aggregate As% of GSDP'!G39*100</f>
        <v>116.03614035087719</v>
      </c>
      <c r="M39" s="173">
        <f ca="1">BCR!G39/'Aggregate As% of GSDP'!H39*100</f>
        <v>61.069715191964576</v>
      </c>
      <c r="N39" s="255">
        <f>+AVERAGE(I39:M39)</f>
        <v>86.493252841316703</v>
      </c>
    </row>
    <row r="40" spans="1:14" ht="15.75">
      <c r="A40" s="145">
        <v>2</v>
      </c>
      <c r="B40" s="180" t="s">
        <v>47</v>
      </c>
      <c r="C40" s="173">
        <f ca="1">+BCR!C40/'Aggregate As% of GSDP'!I40*100</f>
        <v>0.94605988541779273</v>
      </c>
      <c r="D40" s="173">
        <f ca="1">+BCR!D40/'Aggregate As% of GSDP'!J40*100</f>
        <v>0</v>
      </c>
      <c r="E40" s="173">
        <f ca="1">+BCR!E40/'Aggregate As% of GSDP'!K40*100</f>
        <v>0</v>
      </c>
      <c r="F40" s="173">
        <f ca="1">+BCR!F40/'Aggregate As% of GSDP'!L40*100</f>
        <v>0.85752958465465245</v>
      </c>
      <c r="G40" s="173">
        <f ca="1">+BCR!G40/'Aggregate As% of GSDP'!M40*100</f>
        <v>-1.9517633343048675</v>
      </c>
      <c r="H40" s="251">
        <f ca="1">+AVERAGE(C40:G40)</f>
        <v>-2.963477284648448E-2</v>
      </c>
      <c r="I40" s="173">
        <f ca="1">BCR!C40/'Aggregate As% of GSDP'!D40*100</f>
        <v>8.053553184047523</v>
      </c>
      <c r="J40" s="173">
        <f ca="1">BCR!D40/'Aggregate As% of GSDP'!E40*100</f>
        <v>0</v>
      </c>
      <c r="K40" s="173">
        <f ca="1">BCR!E40/'Aggregate As% of GSDP'!F40*100</f>
        <v>0</v>
      </c>
      <c r="L40" s="173">
        <f ca="1">BCR!F40/'Aggregate As% of GSDP'!G40*100</f>
        <v>7.0956799999999998</v>
      </c>
      <c r="M40" s="173">
        <f ca="1">BCR!G40/'Aggregate As% of GSDP'!H40*100</f>
        <v>-15.006162464985994</v>
      </c>
      <c r="N40" s="255">
        <f>+AVERAGE(I40:M40)</f>
        <v>2.8614143812305669E-2</v>
      </c>
    </row>
    <row r="41" spans="1:14" ht="15.75">
      <c r="A41" s="145"/>
      <c r="B41" s="183" t="s">
        <v>146</v>
      </c>
      <c r="C41" s="182">
        <f ca="1">+BCR!C41/'Aggregate As% of GSDP'!I41*100</f>
        <v>4.6530700127991969</v>
      </c>
      <c r="D41" s="182">
        <f ca="1">+BCR!D41/'Aggregate As% of GSDP'!J41*100</f>
        <v>3.8421709263815051</v>
      </c>
      <c r="E41" s="182">
        <f ca="1">+BCR!E41/'Aggregate As% of GSDP'!K41*100</f>
        <v>4.1215509797833292</v>
      </c>
      <c r="F41" s="182">
        <f ca="1">+BCR!F41/'Aggregate As% of GSDP'!L41*100</f>
        <v>4.8081427412814275</v>
      </c>
      <c r="G41" s="182">
        <f ca="1">+BCR!G41/'Aggregate As% of GSDP'!M41*100</f>
        <v>2.7387764071074105</v>
      </c>
      <c r="H41" s="251">
        <f ca="1">+AVERAGE(C41:G41)</f>
        <v>4.0327422134705744</v>
      </c>
      <c r="I41" s="182">
        <f ca="1">BCR!C41/'Aggregate As% of GSDP'!D41*100</f>
        <v>79.110427452802142</v>
      </c>
      <c r="J41" s="182">
        <f ca="1">BCR!D41/'Aggregate As% of GSDP'!E41*100</f>
        <v>71.79890904855742</v>
      </c>
      <c r="K41" s="182">
        <f ca="1">BCR!E41/'Aggregate As% of GSDP'!F41*100</f>
        <v>77.531075291809998</v>
      </c>
      <c r="L41" s="182">
        <f ca="1">BCR!F41/'Aggregate As% of GSDP'!G41*100</f>
        <v>102.90445515911284</v>
      </c>
      <c r="M41" s="182">
        <f ca="1">BCR!G41/'Aggregate As% of GSDP'!H41*100</f>
        <v>53.043031091145522</v>
      </c>
      <c r="N41" s="255">
        <f>+AVERAGE(I41:M41)</f>
        <v>76.877579608685579</v>
      </c>
    </row>
    <row r="42" spans="1:14" s="148" customFormat="1" ht="30">
      <c r="A42" s="151"/>
      <c r="B42" s="416" t="s">
        <v>274</v>
      </c>
      <c r="C42" s="182">
        <f ca="1">+BCR!C42/'Aggregate As% of GSDP'!I42*100</f>
        <v>1.8196597988023797</v>
      </c>
      <c r="D42" s="182">
        <f ca="1">+BCR!D42/'Aggregate As% of GSDP'!J42*100</f>
        <v>1.4464626697356002</v>
      </c>
      <c r="E42" s="182">
        <f ca="1">+BCR!E42/'Aggregate As% of GSDP'!K42*100</f>
        <v>0.63855994428571194</v>
      </c>
      <c r="F42" s="182">
        <f ca="1">+BCR!F42/'Aggregate As% of GSDP'!L42*100</f>
        <v>1.3866326312125037</v>
      </c>
      <c r="G42" s="182">
        <f ca="1">+BCR!G42/'Aggregate As% of GSDP'!M42*100</f>
        <v>1.2459018068304899</v>
      </c>
      <c r="H42" s="251">
        <f ca="1">+AVERAGE(C42:G42)</f>
        <v>1.3074433701733372</v>
      </c>
      <c r="I42" s="182">
        <f ca="1">BCR!C42/'Aggregate As% of GSDP'!D42*100</f>
        <v>33.858248777011902</v>
      </c>
      <c r="J42" s="182">
        <f ca="1">BCR!D42/'Aggregate As% of GSDP'!E42*100</f>
        <v>25.257446601907962</v>
      </c>
      <c r="K42" s="182">
        <f ca="1">BCR!E42/'Aggregate As% of GSDP'!F42*100</f>
        <v>11.467360001372882</v>
      </c>
      <c r="L42" s="182">
        <f ca="1">BCR!F42/'Aggregate As% of GSDP'!G42*100</f>
        <v>25.676343604035118</v>
      </c>
      <c r="M42" s="182">
        <f ca="1">BCR!G42/'Aggregate As% of GSDP'!H42*100</f>
        <v>20.722012664035397</v>
      </c>
      <c r="N42" s="255">
        <f>+AVERAGE(I42:M42)</f>
        <v>23.396282329672651</v>
      </c>
    </row>
    <row r="43" spans="1:14" s="148" customFormat="1" ht="16.5" customHeight="1">
      <c r="A43" s="184"/>
      <c r="B43" s="545" t="s">
        <v>181</v>
      </c>
      <c r="C43" s="545"/>
      <c r="D43" s="545"/>
      <c r="E43" s="545"/>
      <c r="F43" s="545"/>
      <c r="G43" s="545"/>
      <c r="H43" s="545"/>
      <c r="I43" s="545"/>
      <c r="J43" s="545"/>
      <c r="K43" s="152"/>
      <c r="L43" s="152"/>
      <c r="M43" s="152"/>
    </row>
    <row r="44" spans="1:14" ht="15.75">
      <c r="C44" s="174" t="s">
        <v>55</v>
      </c>
      <c r="D44" s="174" t="s">
        <v>56</v>
      </c>
      <c r="E44" s="174" t="s">
        <v>7</v>
      </c>
      <c r="F44" s="174" t="s">
        <v>8</v>
      </c>
      <c r="G44" s="175" t="s">
        <v>9</v>
      </c>
      <c r="H44" s="175"/>
      <c r="I44" s="176"/>
      <c r="J44" s="177"/>
      <c r="K44" s="177"/>
      <c r="L44" s="177"/>
      <c r="M44" s="177"/>
    </row>
    <row r="45" spans="1:14" s="148" customFormat="1" ht="12.75">
      <c r="A45" s="184"/>
      <c r="B45" s="148" t="s">
        <v>148</v>
      </c>
      <c r="C45" s="185">
        <v>1.0575626543951435</v>
      </c>
      <c r="D45" s="185">
        <v>1.1491966754819751</v>
      </c>
      <c r="E45" s="185">
        <v>1.2177408980745625</v>
      </c>
      <c r="F45" s="185">
        <v>1.321012313637526</v>
      </c>
      <c r="G45" s="185">
        <v>1.426611476076826</v>
      </c>
      <c r="H45" s="185"/>
      <c r="I45" s="186"/>
      <c r="J45" s="186"/>
      <c r="K45" s="186"/>
      <c r="L45" s="186"/>
      <c r="M45" s="186"/>
    </row>
    <row r="46" spans="1:14">
      <c r="C46" s="186"/>
      <c r="D46" s="186"/>
      <c r="E46" s="186"/>
      <c r="F46" s="186"/>
      <c r="G46" s="186"/>
      <c r="H46" s="186"/>
    </row>
  </sheetData>
  <mergeCells count="6">
    <mergeCell ref="B43:J43"/>
    <mergeCell ref="C2:H2"/>
    <mergeCell ref="I2:N2"/>
    <mergeCell ref="A1:M1"/>
    <mergeCell ref="A2:A4"/>
    <mergeCell ref="B2:B4"/>
  </mergeCells>
  <phoneticPr fontId="63" type="noConversion"/>
  <printOptions horizontalCentered="1"/>
  <pageMargins left="0.23622047244094499" right="0.27559055118110198" top="0.39370078740157499" bottom="0.39370078740157499" header="0.118110236220472" footer="0.118110236220472"/>
  <pageSetup paperSize="9" scale="74" orientation="landscape" horizontalDpi="4294967295" r:id="rId1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50"/>
  <sheetViews>
    <sheetView view="pageBreakPreview" zoomScaleNormal="100" workbookViewId="0">
      <pane xSplit="2" ySplit="4" topLeftCell="C17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5.28515625" style="150" customWidth="1"/>
    <col min="2" max="2" width="33.42578125" style="147" customWidth="1"/>
    <col min="3" max="13" width="11.85546875" style="147" customWidth="1"/>
    <col min="14" max="14" width="11.5703125" style="147" customWidth="1"/>
    <col min="15" max="16384" width="9.140625" style="147"/>
  </cols>
  <sheetData>
    <row r="1" spans="1:14" ht="34.5" customHeight="1">
      <c r="A1" s="536" t="s">
        <v>183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47" t="s">
        <v>128</v>
      </c>
      <c r="N1" s="547"/>
    </row>
    <row r="2" spans="1:14" s="258" customFormat="1" ht="26.25" customHeight="1">
      <c r="A2" s="542" t="s">
        <v>99</v>
      </c>
      <c r="B2" s="544" t="s">
        <v>129</v>
      </c>
      <c r="C2" s="546" t="s">
        <v>160</v>
      </c>
      <c r="D2" s="546"/>
      <c r="E2" s="546"/>
      <c r="F2" s="546"/>
      <c r="G2" s="546"/>
      <c r="H2" s="546"/>
      <c r="I2" s="546" t="s">
        <v>161</v>
      </c>
      <c r="J2" s="546"/>
      <c r="K2" s="546"/>
      <c r="L2" s="546"/>
      <c r="M2" s="546"/>
      <c r="N2" s="546"/>
    </row>
    <row r="3" spans="1:14" s="258" customFormat="1" ht="19.5" customHeight="1">
      <c r="A3" s="542"/>
      <c r="B3" s="544"/>
      <c r="C3" s="259" t="s">
        <v>55</v>
      </c>
      <c r="D3" s="259" t="s">
        <v>56</v>
      </c>
      <c r="E3" s="259" t="s">
        <v>7</v>
      </c>
      <c r="F3" s="259" t="s">
        <v>8</v>
      </c>
      <c r="G3" s="259" t="s">
        <v>9</v>
      </c>
      <c r="H3" s="421" t="s">
        <v>130</v>
      </c>
      <c r="I3" s="259" t="s">
        <v>55</v>
      </c>
      <c r="J3" s="259" t="s">
        <v>56</v>
      </c>
      <c r="K3" s="259" t="s">
        <v>7</v>
      </c>
      <c r="L3" s="259" t="s">
        <v>8</v>
      </c>
      <c r="M3" s="259" t="s">
        <v>9</v>
      </c>
      <c r="N3" s="426" t="s">
        <v>130</v>
      </c>
    </row>
    <row r="4" spans="1:14" s="258" customFormat="1" ht="24">
      <c r="A4" s="178"/>
      <c r="B4" s="190"/>
      <c r="C4" s="172" t="s">
        <v>10</v>
      </c>
      <c r="D4" s="172" t="s">
        <v>10</v>
      </c>
      <c r="E4" s="172" t="s">
        <v>10</v>
      </c>
      <c r="F4" s="172" t="s">
        <v>133</v>
      </c>
      <c r="G4" s="172" t="s">
        <v>134</v>
      </c>
      <c r="H4" s="422" t="s">
        <v>174</v>
      </c>
      <c r="I4" s="172" t="s">
        <v>10</v>
      </c>
      <c r="J4" s="172" t="s">
        <v>10</v>
      </c>
      <c r="K4" s="172" t="s">
        <v>10</v>
      </c>
      <c r="L4" s="172" t="s">
        <v>133</v>
      </c>
      <c r="M4" s="172" t="s">
        <v>134</v>
      </c>
      <c r="N4" s="427" t="s">
        <v>174</v>
      </c>
    </row>
    <row r="5" spans="1:14" ht="15.75">
      <c r="A5" s="417" t="s">
        <v>137</v>
      </c>
      <c r="B5" s="179" t="s">
        <v>141</v>
      </c>
      <c r="C5" s="214"/>
      <c r="D5" s="214"/>
      <c r="E5" s="214"/>
      <c r="F5" s="214"/>
      <c r="G5" s="214"/>
      <c r="H5" s="423"/>
      <c r="I5" s="214"/>
      <c r="J5" s="214"/>
      <c r="K5" s="214"/>
      <c r="L5" s="214"/>
      <c r="M5" s="214"/>
      <c r="N5" s="428"/>
    </row>
    <row r="6" spans="1:14" ht="15.75">
      <c r="A6" s="189">
        <v>1</v>
      </c>
      <c r="B6" s="180" t="s">
        <v>14</v>
      </c>
      <c r="C6" s="214">
        <v>284.88</v>
      </c>
      <c r="D6" s="214">
        <v>285.05</v>
      </c>
      <c r="E6" s="214">
        <v>-49.889999999999873</v>
      </c>
      <c r="F6" s="214">
        <v>-58.95</v>
      </c>
      <c r="G6" s="214">
        <v>219.44</v>
      </c>
      <c r="H6" s="424">
        <f t="shared" ref="H6:H17" si="0">+SUM(C6:G6)</f>
        <v>680.5300000000002</v>
      </c>
      <c r="I6" s="214">
        <v>269.37411113758822</v>
      </c>
      <c r="J6" s="214">
        <v>248.04283381732671</v>
      </c>
      <c r="K6" s="214">
        <v>-40.96930642543407</v>
      </c>
      <c r="L6" s="214">
        <v>-44.624867907306452</v>
      </c>
      <c r="M6" s="214">
        <v>153.8190346004078</v>
      </c>
      <c r="N6" s="429">
        <f t="shared" ref="N6:N17" si="1">+SUM(I6:M6)</f>
        <v>585.64180522258221</v>
      </c>
    </row>
    <row r="7" spans="1:14" ht="15.75">
      <c r="A7" s="189">
        <v>2</v>
      </c>
      <c r="B7" s="180" t="s">
        <v>15</v>
      </c>
      <c r="C7" s="214">
        <v>1637.6</v>
      </c>
      <c r="D7" s="214">
        <v>3204.03</v>
      </c>
      <c r="E7" s="214">
        <v>2849.32</v>
      </c>
      <c r="F7" s="214">
        <v>3366.69</v>
      </c>
      <c r="G7" s="214">
        <v>2711.0038319999985</v>
      </c>
      <c r="H7" s="424">
        <f t="shared" si="0"/>
        <v>13768.643832</v>
      </c>
      <c r="I7" s="214">
        <v>1548.4661766319628</v>
      </c>
      <c r="J7" s="214">
        <v>2788.0606238755649</v>
      </c>
      <c r="K7" s="214">
        <v>2339.8409337365733</v>
      </c>
      <c r="L7" s="214">
        <v>2548.5682194206943</v>
      </c>
      <c r="M7" s="214">
        <v>1900.3098443139152</v>
      </c>
      <c r="N7" s="429">
        <f t="shared" si="1"/>
        <v>11125.24579797871</v>
      </c>
    </row>
    <row r="8" spans="1:14" ht="15.75">
      <c r="A8" s="189">
        <v>3</v>
      </c>
      <c r="B8" s="180" t="s">
        <v>16</v>
      </c>
      <c r="C8" s="214">
        <v>1275.9100000000001</v>
      </c>
      <c r="D8" s="214">
        <v>279.26</v>
      </c>
      <c r="E8" s="214">
        <v>-15.180000000000291</v>
      </c>
      <c r="F8" s="214">
        <v>373.79</v>
      </c>
      <c r="G8" s="214">
        <v>151.25</v>
      </c>
      <c r="H8" s="424">
        <f t="shared" si="0"/>
        <v>2065.0299999999997</v>
      </c>
      <c r="I8" s="214">
        <v>1206.4627988681552</v>
      </c>
      <c r="J8" s="214">
        <v>243.00453173768346</v>
      </c>
      <c r="K8" s="214">
        <v>-12.465705983926682</v>
      </c>
      <c r="L8" s="214">
        <v>282.95724130741542</v>
      </c>
      <c r="M8" s="214">
        <v>106.02045654079348</v>
      </c>
      <c r="N8" s="429">
        <f t="shared" si="1"/>
        <v>1825.9793224701209</v>
      </c>
    </row>
    <row r="9" spans="1:14" ht="15.75">
      <c r="A9" s="189">
        <v>4</v>
      </c>
      <c r="B9" s="180" t="s">
        <v>142</v>
      </c>
      <c r="C9" s="214">
        <v>-303.13000000000102</v>
      </c>
      <c r="D9" s="214">
        <v>804.11</v>
      </c>
      <c r="E9" s="214">
        <v>-1059.55</v>
      </c>
      <c r="F9" s="214">
        <v>-1912.87</v>
      </c>
      <c r="G9" s="214">
        <v>-4219.6400000000003</v>
      </c>
      <c r="H9" s="424">
        <f t="shared" si="0"/>
        <v>-6691.0800000000017</v>
      </c>
      <c r="I9" s="214">
        <v>-286.6307719360334</v>
      </c>
      <c r="J9" s="214">
        <v>699.71486792089263</v>
      </c>
      <c r="K9" s="214">
        <v>-870.09478097952706</v>
      </c>
      <c r="L9" s="214">
        <v>-1448.0334363672519</v>
      </c>
      <c r="M9" s="214">
        <v>-2957.806011489537</v>
      </c>
      <c r="N9" s="429">
        <f t="shared" si="1"/>
        <v>-4862.8501328514567</v>
      </c>
    </row>
    <row r="10" spans="1:14" ht="15.75">
      <c r="A10" s="189">
        <v>5</v>
      </c>
      <c r="B10" s="180" t="s">
        <v>18</v>
      </c>
      <c r="C10" s="214">
        <v>-113.87</v>
      </c>
      <c r="D10" s="214">
        <v>111.08000000000266</v>
      </c>
      <c r="E10" s="214">
        <v>436.52000000000203</v>
      </c>
      <c r="F10" s="214">
        <v>800.25</v>
      </c>
      <c r="G10" s="214">
        <v>-231.52609998866137</v>
      </c>
      <c r="H10" s="424">
        <f t="shared" si="0"/>
        <v>1002.4539000113432</v>
      </c>
      <c r="I10" s="214">
        <v>-107.67210767774941</v>
      </c>
      <c r="J10" s="214">
        <v>96.658824698927674</v>
      </c>
      <c r="K10" s="214">
        <v>358.46706034937961</v>
      </c>
      <c r="L10" s="214">
        <v>605.78542057374125</v>
      </c>
      <c r="M10" s="214">
        <v>-162.29092774814694</v>
      </c>
      <c r="N10" s="429">
        <f t="shared" si="1"/>
        <v>790.94827019615218</v>
      </c>
    </row>
    <row r="11" spans="1:14" ht="15.75">
      <c r="A11" s="189">
        <v>6</v>
      </c>
      <c r="B11" s="180" t="s">
        <v>19</v>
      </c>
      <c r="C11" s="214">
        <v>247.15</v>
      </c>
      <c r="D11" s="214">
        <v>409.54</v>
      </c>
      <c r="E11" s="214">
        <v>26.46</v>
      </c>
      <c r="F11" s="214">
        <v>-221.67</v>
      </c>
      <c r="G11" s="214">
        <v>907.87</v>
      </c>
      <c r="H11" s="424">
        <f t="shared" si="0"/>
        <v>1369.3500000000001</v>
      </c>
      <c r="I11" s="214">
        <v>233.69773788140571</v>
      </c>
      <c r="J11" s="214">
        <v>356.37067939501151</v>
      </c>
      <c r="K11" s="214">
        <v>21.728760232851982</v>
      </c>
      <c r="L11" s="214">
        <v>-167.80312924533746</v>
      </c>
      <c r="M11" s="214">
        <v>636.38209507233023</v>
      </c>
      <c r="N11" s="429">
        <f t="shared" si="1"/>
        <v>1080.376143336262</v>
      </c>
    </row>
    <row r="12" spans="1:14" ht="15.75">
      <c r="A12" s="189">
        <v>7</v>
      </c>
      <c r="B12" s="180" t="s">
        <v>20</v>
      </c>
      <c r="C12" s="214">
        <v>242.43</v>
      </c>
      <c r="D12" s="214">
        <v>79.859999999999786</v>
      </c>
      <c r="E12" s="214">
        <v>-370.01</v>
      </c>
      <c r="F12" s="214">
        <v>100.98</v>
      </c>
      <c r="G12" s="214">
        <v>-22.420000000000073</v>
      </c>
      <c r="H12" s="424">
        <f t="shared" si="0"/>
        <v>30.839999999999733</v>
      </c>
      <c r="I12" s="214">
        <v>229.2346453351779</v>
      </c>
      <c r="J12" s="214">
        <v>69.492021430105865</v>
      </c>
      <c r="K12" s="214">
        <v>-303.84953037632499</v>
      </c>
      <c r="L12" s="214">
        <v>76.44137678167624</v>
      </c>
      <c r="M12" s="214">
        <v>-15.715561227402304</v>
      </c>
      <c r="N12" s="429">
        <f t="shared" si="1"/>
        <v>55.602951943232711</v>
      </c>
    </row>
    <row r="13" spans="1:14" ht="15.75">
      <c r="A13" s="189">
        <v>8</v>
      </c>
      <c r="B13" s="180" t="s">
        <v>21</v>
      </c>
      <c r="C13" s="214">
        <v>108.41</v>
      </c>
      <c r="D13" s="214">
        <v>161.03</v>
      </c>
      <c r="E13" s="214">
        <v>-165.81</v>
      </c>
      <c r="F13" s="214">
        <v>-326.01</v>
      </c>
      <c r="G13" s="214">
        <v>-362.29502400000001</v>
      </c>
      <c r="H13" s="424">
        <f t="shared" si="0"/>
        <v>-584.67502400000001</v>
      </c>
      <c r="I13" s="214">
        <v>102.5092929950365</v>
      </c>
      <c r="J13" s="214">
        <v>140.12396958289503</v>
      </c>
      <c r="K13" s="214">
        <v>-136.16197030269018</v>
      </c>
      <c r="L13" s="214">
        <v>-246.78800994844823</v>
      </c>
      <c r="M13" s="214">
        <v>-253.95493452520736</v>
      </c>
      <c r="N13" s="429">
        <f t="shared" si="1"/>
        <v>-394.27165219841424</v>
      </c>
    </row>
    <row r="14" spans="1:14" ht="15.75">
      <c r="A14" s="189">
        <v>9</v>
      </c>
      <c r="B14" s="180" t="s">
        <v>22</v>
      </c>
      <c r="C14" s="214">
        <v>356.24</v>
      </c>
      <c r="D14" s="214">
        <v>402.89</v>
      </c>
      <c r="E14" s="214">
        <v>293.01</v>
      </c>
      <c r="F14" s="214">
        <v>-29.72</v>
      </c>
      <c r="G14" s="214">
        <v>232.6399270000004</v>
      </c>
      <c r="H14" s="424">
        <f t="shared" si="0"/>
        <v>1255.0599270000002</v>
      </c>
      <c r="I14" s="214">
        <v>336.85001878564452</v>
      </c>
      <c r="J14" s="214">
        <v>350.58402847452311</v>
      </c>
      <c r="K14" s="214">
        <v>240.61768842887227</v>
      </c>
      <c r="L14" s="214">
        <v>-22.497897781257905</v>
      </c>
      <c r="M14" s="214">
        <v>163.07167781921885</v>
      </c>
      <c r="N14" s="429">
        <f t="shared" si="1"/>
        <v>1068.6255157270009</v>
      </c>
    </row>
    <row r="15" spans="1:14" ht="15.75">
      <c r="A15" s="189">
        <v>10</v>
      </c>
      <c r="B15" s="180" t="s">
        <v>23</v>
      </c>
      <c r="C15" s="214">
        <v>116.52</v>
      </c>
      <c r="D15" s="214">
        <v>613.51</v>
      </c>
      <c r="E15" s="214">
        <v>403.33</v>
      </c>
      <c r="F15" s="214">
        <v>216.24</v>
      </c>
      <c r="G15" s="214">
        <v>-529.48</v>
      </c>
      <c r="H15" s="424">
        <f t="shared" si="0"/>
        <v>820.11999999999989</v>
      </c>
      <c r="I15" s="214">
        <v>110.17786938272877</v>
      </c>
      <c r="J15" s="214">
        <v>533.85988063591719</v>
      </c>
      <c r="K15" s="214">
        <v>331.2116728917681</v>
      </c>
      <c r="L15" s="214">
        <v>163.69264522944809</v>
      </c>
      <c r="M15" s="214">
        <v>-371.14519887087067</v>
      </c>
      <c r="N15" s="429">
        <f t="shared" si="1"/>
        <v>767.79686926899149</v>
      </c>
    </row>
    <row r="16" spans="1:14" ht="15.75">
      <c r="A16" s="189">
        <v>11</v>
      </c>
      <c r="B16" s="180" t="s">
        <v>24</v>
      </c>
      <c r="C16" s="214">
        <v>2791.8899907176669</v>
      </c>
      <c r="D16" s="214">
        <v>2197.4219164651504</v>
      </c>
      <c r="E16" s="214">
        <v>2151.9880000000012</v>
      </c>
      <c r="F16" s="214">
        <v>3019.5424999999987</v>
      </c>
      <c r="G16" s="214">
        <v>4101.1876899999988</v>
      </c>
      <c r="H16" s="424">
        <f t="shared" si="0"/>
        <v>14262.030097182815</v>
      </c>
      <c r="I16" s="214">
        <v>2639.928688021274</v>
      </c>
      <c r="J16" s="214">
        <v>1912.137376784133</v>
      </c>
      <c r="K16" s="214">
        <v>1767.1969492053922</v>
      </c>
      <c r="L16" s="214">
        <v>2285.779223121257</v>
      </c>
      <c r="M16" s="214">
        <v>2874.775479360535</v>
      </c>
      <c r="N16" s="429">
        <f t="shared" si="1"/>
        <v>11479.817716492591</v>
      </c>
    </row>
    <row r="17" spans="1:14" s="148" customFormat="1">
      <c r="A17" s="187"/>
      <c r="B17" s="179" t="s">
        <v>143</v>
      </c>
      <c r="C17" s="216">
        <f>+SUM(C6:C16)</f>
        <v>6644.0299907176659</v>
      </c>
      <c r="D17" s="216">
        <f t="shared" ref="D17:I17" si="2">+SUM(D6:D16)</f>
        <v>8547.7819164651519</v>
      </c>
      <c r="E17" s="216">
        <f t="shared" si="2"/>
        <v>4500.1880000000037</v>
      </c>
      <c r="F17" s="216">
        <f t="shared" si="2"/>
        <v>5328.2724999999991</v>
      </c>
      <c r="G17" s="216">
        <f t="shared" si="2"/>
        <v>2958.0303250113361</v>
      </c>
      <c r="H17" s="424">
        <f t="shared" si="0"/>
        <v>27978.302732194155</v>
      </c>
      <c r="I17" s="216">
        <f t="shared" si="2"/>
        <v>6282.3984594251906</v>
      </c>
      <c r="J17" s="216">
        <f>+SUM(J6:J16)</f>
        <v>7438.0496383529808</v>
      </c>
      <c r="K17" s="216">
        <f>+SUM(K6:K16)</f>
        <v>3695.5217707769352</v>
      </c>
      <c r="L17" s="216">
        <f>+SUM(L6:L16)</f>
        <v>4033.4767851846309</v>
      </c>
      <c r="M17" s="216">
        <f>+SUM(M6:M16)</f>
        <v>2073.465953846036</v>
      </c>
      <c r="N17" s="429">
        <f t="shared" si="1"/>
        <v>23522.912607585771</v>
      </c>
    </row>
    <row r="18" spans="1:14" ht="18.75" customHeight="1">
      <c r="A18" s="417" t="s">
        <v>140</v>
      </c>
      <c r="B18" s="179" t="s">
        <v>138</v>
      </c>
      <c r="C18" s="172"/>
      <c r="D18" s="172"/>
      <c r="E18" s="172"/>
      <c r="F18" s="172"/>
      <c r="G18" s="188"/>
      <c r="H18" s="425"/>
      <c r="I18" s="260"/>
      <c r="J18" s="260"/>
      <c r="K18" s="260"/>
      <c r="L18" s="260"/>
      <c r="M18" s="260"/>
      <c r="N18" s="428"/>
    </row>
    <row r="19" spans="1:14" ht="15.75">
      <c r="A19" s="189">
        <v>1</v>
      </c>
      <c r="B19" s="180" t="s">
        <v>27</v>
      </c>
      <c r="C19" s="214">
        <v>23385.72</v>
      </c>
      <c r="D19" s="214">
        <v>26590.45</v>
      </c>
      <c r="E19" s="214">
        <v>25150.87</v>
      </c>
      <c r="F19" s="214">
        <v>28274.32</v>
      </c>
      <c r="G19" s="214">
        <v>34346.19</v>
      </c>
      <c r="H19" s="424">
        <f>+SUM(C19:G19)</f>
        <v>137747.54999999999</v>
      </c>
      <c r="I19" s="214">
        <v>22112.845894104586</v>
      </c>
      <c r="J19" s="214">
        <v>23138.293529128005</v>
      </c>
      <c r="K19" s="214">
        <v>20653.71216468744</v>
      </c>
      <c r="L19" s="214">
        <v>21403.524939252173</v>
      </c>
      <c r="M19" s="214">
        <v>24075.36359826001</v>
      </c>
      <c r="N19" s="429">
        <f>+SUM(I19:M19)</f>
        <v>111383.7401254322</v>
      </c>
    </row>
    <row r="20" spans="1:14" ht="15.75">
      <c r="A20" s="189">
        <v>2</v>
      </c>
      <c r="B20" s="180" t="s">
        <v>28</v>
      </c>
      <c r="C20" s="214">
        <v>7576.45</v>
      </c>
      <c r="D20" s="214">
        <v>10092.76</v>
      </c>
      <c r="E20" s="214">
        <v>12665.54</v>
      </c>
      <c r="F20" s="214">
        <v>14014.59</v>
      </c>
      <c r="G20" s="214">
        <v>15052.586317000003</v>
      </c>
      <c r="H20" s="424">
        <f t="shared" ref="H20:H42" si="3">+SUM(C20:G20)</f>
        <v>59401.926316999998</v>
      </c>
      <c r="I20" s="214">
        <v>7164.0672715823466</v>
      </c>
      <c r="J20" s="214">
        <v>8782.4479615441633</v>
      </c>
      <c r="K20" s="214">
        <v>10400.849655313526</v>
      </c>
      <c r="L20" s="214">
        <v>10608.977566158759</v>
      </c>
      <c r="M20" s="214">
        <v>10551.286436020082</v>
      </c>
      <c r="N20" s="429">
        <f t="shared" ref="N20:N36" si="4">+SUM(I20:M20)</f>
        <v>47507.628890618878</v>
      </c>
    </row>
    <row r="21" spans="1:14" ht="15.75">
      <c r="A21" s="189">
        <v>3</v>
      </c>
      <c r="B21" s="180" t="s">
        <v>29</v>
      </c>
      <c r="C21" s="214">
        <v>5421.31</v>
      </c>
      <c r="D21" s="214">
        <v>5780.09</v>
      </c>
      <c r="E21" s="214">
        <v>8098.83</v>
      </c>
      <c r="F21" s="214">
        <v>9226.2099999999991</v>
      </c>
      <c r="G21" s="214">
        <v>13316.49</v>
      </c>
      <c r="H21" s="424">
        <f t="shared" si="3"/>
        <v>41842.93</v>
      </c>
      <c r="I21" s="214">
        <v>5126.2305618201299</v>
      </c>
      <c r="J21" s="214">
        <v>5029.6786645121647</v>
      </c>
      <c r="K21" s="214">
        <v>6650.7005002505121</v>
      </c>
      <c r="L21" s="214">
        <v>6984.196819933346</v>
      </c>
      <c r="M21" s="214">
        <v>9334.3494169977348</v>
      </c>
      <c r="N21" s="429">
        <f t="shared" si="4"/>
        <v>33125.155963513884</v>
      </c>
    </row>
    <row r="22" spans="1:14" ht="15.75">
      <c r="A22" s="189">
        <v>4</v>
      </c>
      <c r="B22" s="180" t="s">
        <v>30</v>
      </c>
      <c r="C22" s="214">
        <v>1182.3800000000001</v>
      </c>
      <c r="D22" s="214">
        <v>1421.0597699999996</v>
      </c>
      <c r="E22" s="214">
        <v>2141.13</v>
      </c>
      <c r="F22" s="214">
        <v>2001.84</v>
      </c>
      <c r="G22" s="214">
        <v>3012.0588999999995</v>
      </c>
      <c r="H22" s="424">
        <f t="shared" si="3"/>
        <v>9758.4686700000002</v>
      </c>
      <c r="I22" s="214">
        <v>1118.0235942391905</v>
      </c>
      <c r="J22" s="214">
        <v>1236.5679437803844</v>
      </c>
      <c r="K22" s="214">
        <v>1758.2804382980471</v>
      </c>
      <c r="L22" s="214">
        <v>1515.3833006202294</v>
      </c>
      <c r="M22" s="214">
        <v>2111.3379154099794</v>
      </c>
      <c r="N22" s="429">
        <f t="shared" si="4"/>
        <v>7739.5931923478302</v>
      </c>
    </row>
    <row r="23" spans="1:14" ht="15.75">
      <c r="A23" s="189">
        <v>5</v>
      </c>
      <c r="B23" s="180" t="s">
        <v>31</v>
      </c>
      <c r="C23" s="214">
        <v>13528.99</v>
      </c>
      <c r="D23" s="214">
        <v>19968.400000000001</v>
      </c>
      <c r="E23" s="214">
        <v>20858.12</v>
      </c>
      <c r="F23" s="214">
        <v>25523</v>
      </c>
      <c r="G23" s="214">
        <v>35528.44939999999</v>
      </c>
      <c r="H23" s="424">
        <f t="shared" si="3"/>
        <v>115406.95939999999</v>
      </c>
      <c r="I23" s="214">
        <v>12792.613226057705</v>
      </c>
      <c r="J23" s="214">
        <v>17375.963945967054</v>
      </c>
      <c r="K23" s="214">
        <v>17128.536976116939</v>
      </c>
      <c r="L23" s="214">
        <v>19320.788865109156</v>
      </c>
      <c r="M23" s="214">
        <v>24904.08215255848</v>
      </c>
      <c r="N23" s="429">
        <f t="shared" si="4"/>
        <v>91521.985165809325</v>
      </c>
    </row>
    <row r="24" spans="1:14" ht="15.75">
      <c r="A24" s="189">
        <v>6</v>
      </c>
      <c r="B24" s="180" t="s">
        <v>32</v>
      </c>
      <c r="C24" s="214">
        <v>10318.379999999999</v>
      </c>
      <c r="D24" s="214">
        <v>13308.7</v>
      </c>
      <c r="E24" s="214">
        <v>18059.849999999999</v>
      </c>
      <c r="F24" s="214">
        <v>15043.62</v>
      </c>
      <c r="G24" s="214">
        <v>19086.38</v>
      </c>
      <c r="H24" s="424">
        <f t="shared" si="3"/>
        <v>75816.930000000008</v>
      </c>
      <c r="I24" s="214">
        <v>9756.7552684634447</v>
      </c>
      <c r="J24" s="214">
        <v>11580.87234669236</v>
      </c>
      <c r="K24" s="214">
        <v>14830.617932398776</v>
      </c>
      <c r="L24" s="214">
        <v>11387.948351954452</v>
      </c>
      <c r="M24" s="214">
        <v>13378.821297924396</v>
      </c>
      <c r="N24" s="429">
        <f t="shared" si="4"/>
        <v>60935.015197433429</v>
      </c>
    </row>
    <row r="25" spans="1:14" ht="15.75">
      <c r="A25" s="189">
        <v>7</v>
      </c>
      <c r="B25" s="180" t="s">
        <v>33</v>
      </c>
      <c r="C25" s="214">
        <v>4295.13</v>
      </c>
      <c r="D25" s="214">
        <v>5143.67</v>
      </c>
      <c r="E25" s="214">
        <v>5075.29</v>
      </c>
      <c r="F25" s="214">
        <v>5699.5761000000002</v>
      </c>
      <c r="G25" s="214">
        <v>11818.75</v>
      </c>
      <c r="H25" s="424">
        <f t="shared" si="3"/>
        <v>32032.416100000002</v>
      </c>
      <c r="I25" s="214">
        <v>4061.3480271355966</v>
      </c>
      <c r="J25" s="214">
        <v>4475.8831188253607</v>
      </c>
      <c r="K25" s="214">
        <v>4167.7913651621784</v>
      </c>
      <c r="L25" s="214">
        <v>4314.5518335901852</v>
      </c>
      <c r="M25" s="214">
        <v>8284.4910462247935</v>
      </c>
      <c r="N25" s="429">
        <f t="shared" si="4"/>
        <v>25304.065390938114</v>
      </c>
    </row>
    <row r="26" spans="1:14" ht="15.75">
      <c r="A26" s="189">
        <v>8</v>
      </c>
      <c r="B26" s="180" t="s">
        <v>34</v>
      </c>
      <c r="C26" s="214">
        <v>15162.839039999999</v>
      </c>
      <c r="D26" s="214">
        <v>21005.0075</v>
      </c>
      <c r="E26" s="214">
        <v>23983.444439590945</v>
      </c>
      <c r="F26" s="214">
        <v>26812.107840362019</v>
      </c>
      <c r="G26" s="214">
        <v>32696.432905854097</v>
      </c>
      <c r="H26" s="424">
        <f t="shared" si="3"/>
        <v>119659.83172580707</v>
      </c>
      <c r="I26" s="214">
        <v>14337.532605736866</v>
      </c>
      <c r="J26" s="214">
        <v>18277.991877404675</v>
      </c>
      <c r="K26" s="214">
        <v>19695.030755321182</v>
      </c>
      <c r="L26" s="214">
        <v>20296.637331511673</v>
      </c>
      <c r="M26" s="214">
        <v>22918.947067332665</v>
      </c>
      <c r="N26" s="429">
        <f t="shared" si="4"/>
        <v>95526.13963730706</v>
      </c>
    </row>
    <row r="27" spans="1:14" ht="15.75">
      <c r="A27" s="189">
        <v>9</v>
      </c>
      <c r="B27" s="180" t="s">
        <v>35</v>
      </c>
      <c r="C27" s="214">
        <v>4958.0100000000057</v>
      </c>
      <c r="D27" s="214">
        <v>5401.4126712999987</v>
      </c>
      <c r="E27" s="214">
        <v>7775.8</v>
      </c>
      <c r="F27" s="214">
        <v>8492.16</v>
      </c>
      <c r="G27" s="214">
        <v>8490.8512853446882</v>
      </c>
      <c r="H27" s="424">
        <f t="shared" si="3"/>
        <v>35118.23395664469</v>
      </c>
      <c r="I27" s="214">
        <v>4688.1477701533076</v>
      </c>
      <c r="J27" s="214">
        <v>4700.1638505738247</v>
      </c>
      <c r="K27" s="214">
        <v>6385.4306053896617</v>
      </c>
      <c r="L27" s="214">
        <v>6428.5244825735763</v>
      </c>
      <c r="M27" s="214">
        <v>5951.7615186262801</v>
      </c>
      <c r="N27" s="429">
        <f t="shared" si="4"/>
        <v>28154.028227316652</v>
      </c>
    </row>
    <row r="28" spans="1:14" ht="15.75">
      <c r="A28" s="189">
        <v>10</v>
      </c>
      <c r="B28" s="180" t="s">
        <v>36</v>
      </c>
      <c r="C28" s="214">
        <v>8173.75</v>
      </c>
      <c r="D28" s="214">
        <v>9125.0400000000009</v>
      </c>
      <c r="E28" s="214">
        <v>11458.4</v>
      </c>
      <c r="F28" s="214">
        <v>14471.31</v>
      </c>
      <c r="G28" s="214">
        <v>23109.75</v>
      </c>
      <c r="H28" s="424">
        <f t="shared" si="3"/>
        <v>66338.25</v>
      </c>
      <c r="I28" s="214">
        <v>7728.8565041802176</v>
      </c>
      <c r="J28" s="214">
        <v>7940.3640775178374</v>
      </c>
      <c r="K28" s="214">
        <v>9409.5550359830304</v>
      </c>
      <c r="L28" s="214">
        <v>10954.712420622294</v>
      </c>
      <c r="M28" s="214">
        <v>16199.049557313032</v>
      </c>
      <c r="N28" s="429">
        <f t="shared" si="4"/>
        <v>52232.537595616413</v>
      </c>
    </row>
    <row r="29" spans="1:14" ht="15.75">
      <c r="A29" s="189">
        <v>11</v>
      </c>
      <c r="B29" s="180" t="s">
        <v>37</v>
      </c>
      <c r="C29" s="214">
        <v>14881.12</v>
      </c>
      <c r="D29" s="214">
        <v>16609.41</v>
      </c>
      <c r="E29" s="214">
        <v>24531.759999999998</v>
      </c>
      <c r="F29" s="214">
        <v>25664.61</v>
      </c>
      <c r="G29" s="214">
        <v>34502.58</v>
      </c>
      <c r="H29" s="424">
        <f t="shared" si="3"/>
        <v>116189.48</v>
      </c>
      <c r="I29" s="214">
        <v>14071.147404983783</v>
      </c>
      <c r="J29" s="214">
        <v>14453.061303048038</v>
      </c>
      <c r="K29" s="214">
        <v>20145.303519647328</v>
      </c>
      <c r="L29" s="214">
        <v>19427.986957464607</v>
      </c>
      <c r="M29" s="214">
        <v>24184.986997918946</v>
      </c>
      <c r="N29" s="429">
        <f t="shared" si="4"/>
        <v>92282.48618306272</v>
      </c>
    </row>
    <row r="30" spans="1:14" ht="15.75">
      <c r="A30" s="189">
        <v>12</v>
      </c>
      <c r="B30" s="180" t="s">
        <v>104</v>
      </c>
      <c r="C30" s="214">
        <v>3787.85</v>
      </c>
      <c r="D30" s="214">
        <v>5048.78</v>
      </c>
      <c r="E30" s="214">
        <v>6627.6063999999997</v>
      </c>
      <c r="F30" s="214">
        <v>7961.47</v>
      </c>
      <c r="G30" s="214">
        <v>10854.67</v>
      </c>
      <c r="H30" s="424">
        <f t="shared" si="3"/>
        <v>34280.376400000001</v>
      </c>
      <c r="I30" s="214">
        <v>3581.6790468706577</v>
      </c>
      <c r="J30" s="214">
        <v>4393.3123961418805</v>
      </c>
      <c r="K30" s="214">
        <v>5442.5423425289191</v>
      </c>
      <c r="L30" s="214">
        <v>6026.7946920777576</v>
      </c>
      <c r="M30" s="214">
        <v>7608.7078942125754</v>
      </c>
      <c r="N30" s="429">
        <f t="shared" si="4"/>
        <v>27053.036371831789</v>
      </c>
    </row>
    <row r="31" spans="1:14" ht="15.75">
      <c r="A31" s="189">
        <v>13</v>
      </c>
      <c r="B31" s="180" t="s">
        <v>39</v>
      </c>
      <c r="C31" s="214">
        <v>4481.9399999999996</v>
      </c>
      <c r="D31" s="214">
        <v>5994.46</v>
      </c>
      <c r="E31" s="214">
        <v>3419.36</v>
      </c>
      <c r="F31" s="214">
        <v>6676.36</v>
      </c>
      <c r="G31" s="214">
        <v>5545.33</v>
      </c>
      <c r="H31" s="424">
        <f t="shared" si="3"/>
        <v>26117.449999999997</v>
      </c>
      <c r="I31" s="214">
        <v>4237.9900437798397</v>
      </c>
      <c r="J31" s="214">
        <v>5216.2176656888732</v>
      </c>
      <c r="K31" s="214">
        <v>2807.9536504083444</v>
      </c>
      <c r="L31" s="214">
        <v>5053.9725716984722</v>
      </c>
      <c r="M31" s="214">
        <v>3887.0639224420297</v>
      </c>
      <c r="N31" s="429">
        <f t="shared" si="4"/>
        <v>21203.197854017559</v>
      </c>
    </row>
    <row r="32" spans="1:14" ht="15.75">
      <c r="A32" s="189">
        <v>14</v>
      </c>
      <c r="B32" s="180" t="s">
        <v>40</v>
      </c>
      <c r="C32" s="214">
        <v>10867.54</v>
      </c>
      <c r="D32" s="214">
        <v>12478.36</v>
      </c>
      <c r="E32" s="214">
        <v>16355.44</v>
      </c>
      <c r="F32" s="214">
        <v>19188.84</v>
      </c>
      <c r="G32" s="214">
        <v>24990.9</v>
      </c>
      <c r="H32" s="424">
        <f t="shared" si="3"/>
        <v>83881.080000000016</v>
      </c>
      <c r="I32" s="214">
        <v>10276.024739371614</v>
      </c>
      <c r="J32" s="214">
        <v>10858.332839125689</v>
      </c>
      <c r="K32" s="214">
        <v>13430.968793000624</v>
      </c>
      <c r="L32" s="214">
        <v>14525.860055885325</v>
      </c>
      <c r="M32" s="214">
        <v>17517.66365200204</v>
      </c>
      <c r="N32" s="429">
        <f t="shared" si="4"/>
        <v>66608.850079385287</v>
      </c>
    </row>
    <row r="33" spans="1:14" ht="15.75">
      <c r="A33" s="189">
        <v>15</v>
      </c>
      <c r="B33" s="180" t="s">
        <v>41</v>
      </c>
      <c r="C33" s="214">
        <v>12058.532299999999</v>
      </c>
      <c r="D33" s="214">
        <v>12897.41</v>
      </c>
      <c r="E33" s="214">
        <v>15580.27</v>
      </c>
      <c r="F33" s="214">
        <v>18322.87</v>
      </c>
      <c r="G33" s="214">
        <v>20642.47</v>
      </c>
      <c r="H33" s="424">
        <f t="shared" si="3"/>
        <v>79501.552299999996</v>
      </c>
      <c r="I33" s="214">
        <v>11402.191870037892</v>
      </c>
      <c r="J33" s="214">
        <v>11222.978864423536</v>
      </c>
      <c r="K33" s="214">
        <v>12794.404806995335</v>
      </c>
      <c r="L33" s="214">
        <v>13870.324909800675</v>
      </c>
      <c r="M33" s="214">
        <v>14469.580783666959</v>
      </c>
      <c r="N33" s="429">
        <f t="shared" si="4"/>
        <v>63759.481234924388</v>
      </c>
    </row>
    <row r="34" spans="1:14" ht="15.75">
      <c r="A34" s="189">
        <v>16</v>
      </c>
      <c r="B34" s="180" t="s">
        <v>42</v>
      </c>
      <c r="C34" s="214">
        <v>22453.53</v>
      </c>
      <c r="D34" s="214">
        <v>29602.29</v>
      </c>
      <c r="E34" s="214">
        <v>27817.84</v>
      </c>
      <c r="F34" s="214">
        <v>31557.93</v>
      </c>
      <c r="G34" s="214">
        <v>39298.49</v>
      </c>
      <c r="H34" s="424">
        <f t="shared" si="3"/>
        <v>150730.07999999999</v>
      </c>
      <c r="I34" s="214">
        <v>21231.394571929115</v>
      </c>
      <c r="J34" s="214">
        <v>25759.115590536101</v>
      </c>
      <c r="K34" s="214">
        <v>22843.808599993907</v>
      </c>
      <c r="L34" s="214">
        <v>23889.201996234548</v>
      </c>
      <c r="M34" s="214">
        <v>27546.736206041634</v>
      </c>
      <c r="N34" s="429">
        <f t="shared" si="4"/>
        <v>121270.25696473531</v>
      </c>
    </row>
    <row r="35" spans="1:14" ht="15.75">
      <c r="A35" s="189">
        <v>17</v>
      </c>
      <c r="B35" s="180" t="s">
        <v>43</v>
      </c>
      <c r="C35" s="214">
        <v>4934.16</v>
      </c>
      <c r="D35" s="214">
        <v>5736.59</v>
      </c>
      <c r="E35" s="214">
        <v>9489.65</v>
      </c>
      <c r="F35" s="214">
        <v>9533.7800000000007</v>
      </c>
      <c r="G35" s="214">
        <v>17650.77</v>
      </c>
      <c r="H35" s="424">
        <f t="shared" si="3"/>
        <v>47344.95</v>
      </c>
      <c r="I35" s="214">
        <v>4665.5959148084858</v>
      </c>
      <c r="J35" s="214">
        <v>4991.8261359345306</v>
      </c>
      <c r="K35" s="214">
        <v>7792.831804372021</v>
      </c>
      <c r="L35" s="214">
        <v>7217.025838122494</v>
      </c>
      <c r="M35" s="214">
        <v>12372.513677332478</v>
      </c>
      <c r="N35" s="429">
        <f t="shared" si="4"/>
        <v>37039.793370570005</v>
      </c>
    </row>
    <row r="36" spans="1:14" s="148" customFormat="1">
      <c r="A36" s="187"/>
      <c r="B36" s="179" t="s">
        <v>139</v>
      </c>
      <c r="C36" s="216">
        <f>+SUM(C19:C35)</f>
        <v>167467.63134000002</v>
      </c>
      <c r="D36" s="216">
        <f>+SUM(D19:D35)</f>
        <v>206203.8899413</v>
      </c>
      <c r="E36" s="216">
        <f>+SUM(E19:E35)</f>
        <v>239089.20083959092</v>
      </c>
      <c r="F36" s="216">
        <f>+SUM(F19:F35)</f>
        <v>268464.59394036199</v>
      </c>
      <c r="G36" s="216">
        <f>+SUM(G19:G35)</f>
        <v>349943.14880819886</v>
      </c>
      <c r="H36" s="424">
        <f t="shared" si="3"/>
        <v>1231168.4648694517</v>
      </c>
      <c r="I36" s="216">
        <f>+SUM(I19:I35)</f>
        <v>158352.44431525478</v>
      </c>
      <c r="J36" s="216">
        <f>+SUM(J19:J35)</f>
        <v>179433.07211084446</v>
      </c>
      <c r="K36" s="216">
        <f>+SUM(K19:K35)</f>
        <v>196338.31894586774</v>
      </c>
      <c r="L36" s="216">
        <f>+SUM(L19:L35)</f>
        <v>203226.41293260973</v>
      </c>
      <c r="M36" s="216">
        <f>+SUM(M19:M35)</f>
        <v>245296.74314028409</v>
      </c>
      <c r="N36" s="429">
        <f t="shared" si="4"/>
        <v>982646.9914448607</v>
      </c>
    </row>
    <row r="37" spans="1:14" s="148" customFormat="1">
      <c r="A37" s="187"/>
      <c r="B37" s="179" t="s">
        <v>175</v>
      </c>
      <c r="C37" s="216">
        <f>+C36+C17</f>
        <v>174111.66133071767</v>
      </c>
      <c r="D37" s="216">
        <f>+D36+D17</f>
        <v>214751.67185776515</v>
      </c>
      <c r="E37" s="216">
        <f>+E36+E17</f>
        <v>243589.38883959092</v>
      </c>
      <c r="F37" s="216">
        <f>+F36+F17</f>
        <v>273792.86644036201</v>
      </c>
      <c r="G37" s="216">
        <f>+G36+G17</f>
        <v>352901.17913321021</v>
      </c>
      <c r="H37" s="424">
        <f t="shared" si="3"/>
        <v>1259146.767601646</v>
      </c>
      <c r="I37" s="216">
        <f>+I36+I17</f>
        <v>164634.84277467997</v>
      </c>
      <c r="J37" s="216">
        <f>+J36+J17</f>
        <v>186871.12174919742</v>
      </c>
      <c r="K37" s="216">
        <f>+K36+K17</f>
        <v>200033.84071664469</v>
      </c>
      <c r="L37" s="216">
        <f>+L36+L17</f>
        <v>207259.88971779437</v>
      </c>
      <c r="M37" s="216">
        <f>+M36+M17</f>
        <v>247370.20909413011</v>
      </c>
      <c r="N37" s="429">
        <f t="shared" ref="N37:N42" si="5">+SUM(I37:M37)</f>
        <v>1006169.9040524465</v>
      </c>
    </row>
    <row r="38" spans="1:14" s="148" customFormat="1">
      <c r="A38" s="417" t="s">
        <v>271</v>
      </c>
      <c r="B38" s="179" t="s">
        <v>273</v>
      </c>
      <c r="C38" s="216"/>
      <c r="D38" s="216"/>
      <c r="E38" s="216"/>
      <c r="F38" s="216"/>
      <c r="G38" s="216"/>
      <c r="H38" s="424"/>
      <c r="I38" s="216"/>
      <c r="J38" s="216"/>
      <c r="K38" s="216"/>
      <c r="L38" s="216"/>
      <c r="M38" s="216"/>
      <c r="N38" s="429"/>
    </row>
    <row r="39" spans="1:14" ht="15" customHeight="1">
      <c r="A39" s="189">
        <v>1</v>
      </c>
      <c r="B39" s="180" t="s">
        <v>145</v>
      </c>
      <c r="C39" s="214">
        <v>8027.1270999999988</v>
      </c>
      <c r="D39" s="214">
        <v>8826.4153000000006</v>
      </c>
      <c r="E39" s="214">
        <v>9575.9145000000008</v>
      </c>
      <c r="F39" s="214">
        <v>10319.49</v>
      </c>
      <c r="G39" s="214">
        <v>13875.14</v>
      </c>
      <c r="H39" s="424">
        <f t="shared" si="3"/>
        <v>50624.086899999995</v>
      </c>
      <c r="I39" s="214">
        <v>7590.2142219564194</v>
      </c>
      <c r="J39" s="214">
        <v>7680.5089053170004</v>
      </c>
      <c r="K39" s="214">
        <v>7863.6715865756078</v>
      </c>
      <c r="L39" s="214">
        <v>7811.8045482743137</v>
      </c>
      <c r="M39" s="214">
        <v>9725.941668544936</v>
      </c>
      <c r="N39" s="429">
        <f t="shared" si="5"/>
        <v>40672.140930668276</v>
      </c>
    </row>
    <row r="40" spans="1:14" ht="15.75" customHeight="1">
      <c r="A40" s="189">
        <v>2</v>
      </c>
      <c r="B40" s="180" t="s">
        <v>47</v>
      </c>
      <c r="C40" s="214">
        <v>829.23530000000005</v>
      </c>
      <c r="D40" s="214">
        <v>903.84839999999997</v>
      </c>
      <c r="E40" s="214">
        <v>1231.7179999999998</v>
      </c>
      <c r="F40" s="214">
        <v>1382.08</v>
      </c>
      <c r="G40" s="214">
        <v>1405.23</v>
      </c>
      <c r="H40" s="424">
        <f t="shared" si="3"/>
        <v>5752.1116999999995</v>
      </c>
      <c r="I40" s="214">
        <v>784.10039968201056</v>
      </c>
      <c r="J40" s="214">
        <v>786.50453772059893</v>
      </c>
      <c r="K40" s="214">
        <v>1011.477894803022</v>
      </c>
      <c r="L40" s="214">
        <v>1046.2279463499615</v>
      </c>
      <c r="M40" s="214">
        <v>985.01240426326513</v>
      </c>
      <c r="N40" s="429">
        <f t="shared" si="5"/>
        <v>4613.3231828188582</v>
      </c>
    </row>
    <row r="41" spans="1:14" s="148" customFormat="1">
      <c r="A41" s="191"/>
      <c r="B41" s="183" t="s">
        <v>146</v>
      </c>
      <c r="C41" s="216">
        <f>+C39+C40</f>
        <v>8856.3623999999982</v>
      </c>
      <c r="D41" s="216">
        <f t="shared" ref="D41:J41" si="6">+D39+D40</f>
        <v>9730.2637000000013</v>
      </c>
      <c r="E41" s="216">
        <f t="shared" si="6"/>
        <v>10807.6325</v>
      </c>
      <c r="F41" s="216">
        <f t="shared" si="6"/>
        <v>11701.57</v>
      </c>
      <c r="G41" s="216">
        <f t="shared" si="6"/>
        <v>15280.369999999999</v>
      </c>
      <c r="H41" s="424">
        <f t="shared" si="3"/>
        <v>56376.198600000003</v>
      </c>
      <c r="I41" s="216">
        <f t="shared" si="6"/>
        <v>8374.3146216384303</v>
      </c>
      <c r="J41" s="216">
        <f t="shared" si="6"/>
        <v>8467.0134430376002</v>
      </c>
      <c r="K41" s="216">
        <f>+K39+K40</f>
        <v>8875.1494813786303</v>
      </c>
      <c r="L41" s="216">
        <f>+L39+L40</f>
        <v>8858.0324946242745</v>
      </c>
      <c r="M41" s="216">
        <f>+M39+M40</f>
        <v>10710.954072808201</v>
      </c>
      <c r="N41" s="429">
        <f t="shared" si="5"/>
        <v>45285.464113487134</v>
      </c>
    </row>
    <row r="42" spans="1:14" s="148" customFormat="1" ht="30">
      <c r="A42" s="192"/>
      <c r="B42" s="416" t="s">
        <v>274</v>
      </c>
      <c r="C42" s="216">
        <f>+C37+C41</f>
        <v>182968.02373071766</v>
      </c>
      <c r="D42" s="216">
        <f>+D37+D41</f>
        <v>224481.93555776516</v>
      </c>
      <c r="E42" s="216">
        <f>+E37+E41</f>
        <v>254397.02133959092</v>
      </c>
      <c r="F42" s="216">
        <f>+F37+F41</f>
        <v>285494.43644036201</v>
      </c>
      <c r="G42" s="216">
        <f>+G37+G41</f>
        <v>368181.54913321021</v>
      </c>
      <c r="H42" s="424">
        <f t="shared" si="3"/>
        <v>1315522.9662016458</v>
      </c>
      <c r="I42" s="216">
        <f>+I37+I41</f>
        <v>173009.15739631839</v>
      </c>
      <c r="J42" s="216">
        <f>+J37+J41</f>
        <v>195338.13519223503</v>
      </c>
      <c r="K42" s="216">
        <f>+K37+K41</f>
        <v>208908.99019802333</v>
      </c>
      <c r="L42" s="216">
        <f>+L37+L41</f>
        <v>216117.92221241863</v>
      </c>
      <c r="M42" s="216">
        <f>+M37+M41</f>
        <v>258081.16316693832</v>
      </c>
      <c r="N42" s="429">
        <f t="shared" si="5"/>
        <v>1051455.3681659338</v>
      </c>
    </row>
    <row r="43" spans="1:14">
      <c r="B43" s="545" t="s">
        <v>181</v>
      </c>
      <c r="C43" s="545"/>
      <c r="D43" s="545"/>
      <c r="E43" s="545"/>
      <c r="F43" s="545"/>
      <c r="G43" s="545"/>
      <c r="H43" s="545"/>
      <c r="I43" s="545"/>
      <c r="J43" s="545"/>
      <c r="K43" s="545"/>
    </row>
    <row r="44" spans="1:14" ht="15.75">
      <c r="C44" s="174" t="s">
        <v>55</v>
      </c>
      <c r="D44" s="174" t="s">
        <v>56</v>
      </c>
      <c r="E44" s="174" t="s">
        <v>7</v>
      </c>
      <c r="F44" s="174" t="s">
        <v>8</v>
      </c>
      <c r="G44" s="175" t="s">
        <v>9</v>
      </c>
      <c r="H44" s="175"/>
      <c r="I44" s="149"/>
      <c r="J44" s="149"/>
      <c r="K44" s="149"/>
      <c r="L44" s="149"/>
      <c r="M44" s="149"/>
    </row>
    <row r="45" spans="1:14" ht="18.75" customHeight="1">
      <c r="B45" s="148" t="s">
        <v>148</v>
      </c>
      <c r="C45" s="185">
        <v>1.0575626543951435</v>
      </c>
      <c r="D45" s="185">
        <v>1.1491966754819751</v>
      </c>
      <c r="E45" s="185">
        <v>1.2177408980745625</v>
      </c>
      <c r="F45" s="185">
        <v>1.321012313637526</v>
      </c>
      <c r="G45" s="185">
        <v>1.426611476076826</v>
      </c>
      <c r="H45" s="185"/>
    </row>
    <row r="47" spans="1:14">
      <c r="C47" s="147" t="s">
        <v>151</v>
      </c>
      <c r="D47" s="146"/>
      <c r="H47" s="261">
        <f>+H42-1305323</f>
        <v>10199.966201645788</v>
      </c>
    </row>
    <row r="49" spans="3:9">
      <c r="C49" s="147">
        <v>15700.514983529196</v>
      </c>
      <c r="D49" s="147">
        <v>12776.009690113135</v>
      </c>
      <c r="E49" s="147">
        <v>10354.838883673092</v>
      </c>
      <c r="F49" s="147">
        <v>11424.59126457664</v>
      </c>
      <c r="G49" s="147">
        <v>11078.10912224198</v>
      </c>
      <c r="I49" s="147">
        <v>65972.486390493286</v>
      </c>
    </row>
    <row r="50" spans="3:9">
      <c r="C50" s="147">
        <v>869.18718082286432</v>
      </c>
      <c r="D50" s="147">
        <v>803.05242184141832</v>
      </c>
      <c r="E50" s="147">
        <v>1106.8895572140616</v>
      </c>
      <c r="F50" s="147">
        <v>984.89080423971768</v>
      </c>
      <c r="G50" s="147">
        <v>876.12699927861559</v>
      </c>
      <c r="I50" s="147">
        <v>5643.1794064246405</v>
      </c>
    </row>
  </sheetData>
  <mergeCells count="7">
    <mergeCell ref="A1:L1"/>
    <mergeCell ref="B2:B3"/>
    <mergeCell ref="B43:K43"/>
    <mergeCell ref="C2:H2"/>
    <mergeCell ref="I2:N2"/>
    <mergeCell ref="A2:A3"/>
    <mergeCell ref="M1:N1"/>
  </mergeCells>
  <phoneticPr fontId="63" type="noConversion"/>
  <printOptions horizontalCentered="1"/>
  <pageMargins left="0.23622047244094491" right="0.27559055118110237" top="0.78740157480314965" bottom="0.39370078740157483" header="0" footer="0"/>
  <pageSetup paperSize="9" scale="68" orientation="landscape" horizontalDpi="4294967295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50"/>
  <sheetViews>
    <sheetView view="pageBreakPreview" zoomScaleNormal="100" workbookViewId="0">
      <pane xSplit="2" ySplit="4" topLeftCell="C17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5.28515625" style="150" customWidth="1"/>
    <col min="2" max="2" width="29.28515625" style="147" customWidth="1"/>
    <col min="3" max="3" width="11.28515625" style="147" customWidth="1"/>
    <col min="4" max="13" width="12.5703125" style="147" customWidth="1"/>
    <col min="14" max="14" width="11.85546875" style="147" customWidth="1"/>
    <col min="15" max="16384" width="9.140625" style="147"/>
  </cols>
  <sheetData>
    <row r="1" spans="1:14" ht="29.25" customHeight="1">
      <c r="A1" s="536" t="s">
        <v>184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273" t="s">
        <v>128</v>
      </c>
    </row>
    <row r="2" spans="1:14" s="258" customFormat="1" ht="27" customHeight="1">
      <c r="A2" s="542" t="s">
        <v>99</v>
      </c>
      <c r="B2" s="544" t="s">
        <v>129</v>
      </c>
      <c r="C2" s="548" t="s">
        <v>185</v>
      </c>
      <c r="D2" s="548"/>
      <c r="E2" s="548"/>
      <c r="F2" s="548"/>
      <c r="G2" s="548"/>
      <c r="H2" s="548"/>
      <c r="I2" s="549" t="s">
        <v>186</v>
      </c>
      <c r="J2" s="549"/>
      <c r="K2" s="549"/>
      <c r="L2" s="549"/>
      <c r="M2" s="549"/>
      <c r="N2" s="549"/>
    </row>
    <row r="3" spans="1:14" s="262" customFormat="1" ht="25.5" customHeight="1">
      <c r="A3" s="542"/>
      <c r="B3" s="544"/>
      <c r="C3" s="136" t="s">
        <v>55</v>
      </c>
      <c r="D3" s="136" t="s">
        <v>56</v>
      </c>
      <c r="E3" s="136" t="s">
        <v>7</v>
      </c>
      <c r="F3" s="136" t="s">
        <v>8</v>
      </c>
      <c r="G3" s="136" t="s">
        <v>9</v>
      </c>
      <c r="H3" s="263" t="s">
        <v>130</v>
      </c>
      <c r="I3" s="136" t="s">
        <v>55</v>
      </c>
      <c r="J3" s="136" t="s">
        <v>56</v>
      </c>
      <c r="K3" s="136" t="s">
        <v>7</v>
      </c>
      <c r="L3" s="136" t="s">
        <v>8</v>
      </c>
      <c r="M3" s="136" t="s">
        <v>9</v>
      </c>
      <c r="N3" s="268" t="s">
        <v>130</v>
      </c>
    </row>
    <row r="4" spans="1:14" s="258" customFormat="1">
      <c r="A4" s="190"/>
      <c r="B4" s="190"/>
      <c r="C4" s="190" t="s">
        <v>10</v>
      </c>
      <c r="D4" s="190" t="s">
        <v>10</v>
      </c>
      <c r="E4" s="190" t="s">
        <v>10</v>
      </c>
      <c r="F4" s="190" t="s">
        <v>133</v>
      </c>
      <c r="G4" s="190" t="s">
        <v>134</v>
      </c>
      <c r="H4" s="264" t="s">
        <v>172</v>
      </c>
      <c r="I4" s="190" t="s">
        <v>10</v>
      </c>
      <c r="J4" s="190" t="s">
        <v>10</v>
      </c>
      <c r="K4" s="190" t="s">
        <v>10</v>
      </c>
      <c r="L4" s="190" t="s">
        <v>133</v>
      </c>
      <c r="M4" s="190" t="s">
        <v>134</v>
      </c>
      <c r="N4" s="269" t="s">
        <v>172</v>
      </c>
    </row>
    <row r="5" spans="1:14" ht="15.75">
      <c r="A5" s="193" t="s">
        <v>137</v>
      </c>
      <c r="B5" s="194" t="s">
        <v>141</v>
      </c>
      <c r="C5" s="201"/>
      <c r="D5" s="201"/>
      <c r="E5" s="201"/>
      <c r="F5" s="201"/>
      <c r="G5" s="201"/>
      <c r="H5" s="267"/>
      <c r="I5" s="173"/>
      <c r="J5" s="173"/>
      <c r="K5" s="173"/>
      <c r="L5" s="173"/>
      <c r="M5" s="173"/>
      <c r="N5" s="272"/>
    </row>
    <row r="6" spans="1:14" ht="15.75">
      <c r="A6" s="195">
        <v>1</v>
      </c>
      <c r="B6" s="196" t="s">
        <v>14</v>
      </c>
      <c r="C6" s="201">
        <f ca="1">+SOR!C6/'Aggregate As% of GSDP'!I6*100</f>
        <v>5.9226611226611228</v>
      </c>
      <c r="D6" s="201">
        <f ca="1">+SOR!D6/'Aggregate As% of GSDP'!J6*100</f>
        <v>5.0123087743977495</v>
      </c>
      <c r="E6" s="201">
        <f ca="1">+SOR!E6/'Aggregate As% of GSDP'!K6*100</f>
        <v>-0.70416372618207301</v>
      </c>
      <c r="F6" s="201">
        <f ca="1">+SOR!F6/'Aggregate As% of GSDP'!L6*100</f>
        <v>-0.71602089153407023</v>
      </c>
      <c r="G6" s="201">
        <f ca="1">+SOR!G6/'Aggregate As% of GSDP'!M6*100</f>
        <v>2.3451961098642728</v>
      </c>
      <c r="H6" s="266">
        <f t="shared" ref="H6:H17" si="0">+AVERAGE(C6:G6)</f>
        <v>2.3719962778414008</v>
      </c>
      <c r="I6" s="173">
        <f ca="1">SOR!C6/'Aggregate As% of GSDP'!D6*100</f>
        <v>19.378932689364305</v>
      </c>
      <c r="J6" s="173">
        <f ca="1">SOR!D6/'Aggregate As% of GSDP'!E6*100</f>
        <v>13.576783485906438</v>
      </c>
      <c r="K6" s="173">
        <f ca="1">SOR!E6/'Aggregate As% of GSDP'!F6*100</f>
        <v>-2.354334684555011</v>
      </c>
      <c r="L6" s="173">
        <f ca="1">SOR!F6/'Aggregate As% of GSDP'!G6*100</f>
        <v>-2.8959947336618246</v>
      </c>
      <c r="M6" s="173">
        <f ca="1">SOR!G6/'Aggregate As% of GSDP'!H6*100</f>
        <v>8.3105787183439439</v>
      </c>
      <c r="N6" s="271">
        <f t="shared" ref="N6:N17" si="1">+AVERAGE(I6:M6)</f>
        <v>7.2031930950795697</v>
      </c>
    </row>
    <row r="7" spans="1:14" ht="15.75">
      <c r="A7" s="195">
        <v>2</v>
      </c>
      <c r="B7" s="196" t="s">
        <v>15</v>
      </c>
      <c r="C7" s="201">
        <f ca="1">+SOR!C7/'Aggregate As% of GSDP'!I7*100</f>
        <v>2.3040126062243234</v>
      </c>
      <c r="D7" s="201">
        <f ca="1">+SOR!D7/'Aggregate As% of GSDP'!J7*100</f>
        <v>3.9519821397735404</v>
      </c>
      <c r="E7" s="201">
        <f ca="1">+SOR!E7/'Aggregate As% of GSDP'!K7*100</f>
        <v>3.0724737699084512</v>
      </c>
      <c r="F7" s="201">
        <f ca="1">+SOR!F7/'Aggregate As% of GSDP'!L7*100</f>
        <v>3.2367350862856319</v>
      </c>
      <c r="G7" s="201">
        <f ca="1">+SOR!G7/'Aggregate As% of GSDP'!M7*100</f>
        <v>2.3490605781228324</v>
      </c>
      <c r="H7" s="266">
        <f t="shared" si="0"/>
        <v>2.982852836062956</v>
      </c>
      <c r="I7" s="173">
        <f ca="1">SOR!C7/'Aggregate As% of GSDP'!D7*100</f>
        <v>36.474028736438626</v>
      </c>
      <c r="J7" s="173">
        <f ca="1">SOR!D7/'Aggregate As% of GSDP'!E7*100</f>
        <v>45.361658148457522</v>
      </c>
      <c r="K7" s="173">
        <f ca="1">SOR!E7/'Aggregate As% of GSDP'!F7*100</f>
        <v>45.532368455956515</v>
      </c>
      <c r="L7" s="173">
        <f ca="1">SOR!F7/'Aggregate As% of GSDP'!G7*100</f>
        <v>44.037802485284487</v>
      </c>
      <c r="M7" s="173">
        <f ca="1">SOR!G7/'Aggregate As% of GSDP'!H7*100</f>
        <v>30.122251974614482</v>
      </c>
      <c r="N7" s="271">
        <f t="shared" si="1"/>
        <v>40.305621960150326</v>
      </c>
    </row>
    <row r="8" spans="1:14" ht="15.75">
      <c r="A8" s="195">
        <v>3</v>
      </c>
      <c r="B8" s="196" t="s">
        <v>16</v>
      </c>
      <c r="C8" s="201">
        <f ca="1">+SOR!C8/'Aggregate As% of GSDP'!I8*100</f>
        <v>3.756764714542296</v>
      </c>
      <c r="D8" s="201">
        <f ca="1">+SOR!D8/'Aggregate As% of GSDP'!J8*100</f>
        <v>0.67319142781380314</v>
      </c>
      <c r="E8" s="201">
        <f ca="1">+SOR!E8/'Aggregate As% of GSDP'!K8*100</f>
        <v>-3.1500964950507984E-2</v>
      </c>
      <c r="F8" s="201">
        <f ca="1">+SOR!F8/'Aggregate As% of GSDP'!L8*100</f>
        <v>0.66606675101124391</v>
      </c>
      <c r="G8" s="201">
        <f ca="1">+SOR!G8/'Aggregate As% of GSDP'!M8*100</f>
        <v>0.23882458827430486</v>
      </c>
      <c r="H8" s="266">
        <f t="shared" si="0"/>
        <v>1.060669303338228</v>
      </c>
      <c r="I8" s="173">
        <f ca="1">SOR!C8/'Aggregate As% of GSDP'!D8*100</f>
        <v>46.150368216213081</v>
      </c>
      <c r="J8" s="173">
        <f ca="1">SOR!D8/'Aggregate As% of GSDP'!E8*100</f>
        <v>14.106676500154069</v>
      </c>
      <c r="K8" s="173">
        <f ca="1">SOR!E8/'Aggregate As% of GSDP'!F8*100</f>
        <v>-0.68138971182333663</v>
      </c>
      <c r="L8" s="173">
        <f ca="1">SOR!F8/'Aggregate As% of GSDP'!G8*100</f>
        <v>12.30697809180764</v>
      </c>
      <c r="M8" s="173">
        <f ca="1">SOR!G8/'Aggregate As% of GSDP'!H8*100</f>
        <v>4.583333333333333</v>
      </c>
      <c r="N8" s="271">
        <f t="shared" si="1"/>
        <v>15.293193285936956</v>
      </c>
    </row>
    <row r="9" spans="1:14" ht="15.75">
      <c r="A9" s="195">
        <v>4</v>
      </c>
      <c r="B9" s="196" t="s">
        <v>142</v>
      </c>
      <c r="C9" s="201">
        <f ca="1">+SOR!C9/'Aggregate As% of GSDP'!I9*100</f>
        <v>-0.81708401843715739</v>
      </c>
      <c r="D9" s="201">
        <f ca="1">+SOR!D9/'Aggregate As% of GSDP'!J9*100</f>
        <v>1.9002954035212101</v>
      </c>
      <c r="E9" s="201">
        <f ca="1">+SOR!E9/'Aggregate As% of GSDP'!K9*100</f>
        <v>-2.1899673432268196</v>
      </c>
      <c r="F9" s="201">
        <f ca="1">+SOR!F9/'Aggregate As% of GSDP'!L9*100</f>
        <v>-3.4499693395375681</v>
      </c>
      <c r="G9" s="201">
        <f ca="1">+SOR!G9/'Aggregate As% of GSDP'!M9*100</f>
        <v>-6.6358017896177017</v>
      </c>
      <c r="H9" s="266">
        <f t="shared" si="0"/>
        <v>-2.2385054174596073</v>
      </c>
      <c r="I9" s="173">
        <f ca="1">SOR!C9/'Aggregate As% of GSDP'!D9*100</f>
        <v>-7.2789924239695782</v>
      </c>
      <c r="J9" s="173">
        <f ca="1">SOR!D9/'Aggregate As% of GSDP'!E9*100</f>
        <v>16.062443194870308</v>
      </c>
      <c r="K9" s="173">
        <f ca="1">SOR!E9/'Aggregate As% of GSDP'!F9*100</f>
        <v>-15.841582678095389</v>
      </c>
      <c r="L9" s="173">
        <f ca="1">SOR!F9/'Aggregate As% of GSDP'!G9*100</f>
        <v>-33.163200735083784</v>
      </c>
      <c r="M9" s="173">
        <f ca="1">SOR!G9/'Aggregate As% of GSDP'!H9*100</f>
        <v>-88.400526258453183</v>
      </c>
      <c r="N9" s="271">
        <f t="shared" si="1"/>
        <v>-25.724371780146328</v>
      </c>
    </row>
    <row r="10" spans="1:14" ht="15.75">
      <c r="A10" s="195">
        <v>5</v>
      </c>
      <c r="B10" s="196" t="s">
        <v>18</v>
      </c>
      <c r="C10" s="201">
        <f ca="1">+SOR!C10/'Aggregate As% of GSDP'!I10*100</f>
        <v>-1.6787557128114403</v>
      </c>
      <c r="D10" s="201">
        <f ca="1">+SOR!D10/'Aggregate As% of GSDP'!J10*100</f>
        <v>1.5012839572915617</v>
      </c>
      <c r="E10" s="201">
        <f ca="1">+SOR!E10/'Aggregate As% of GSDP'!K10*100</f>
        <v>5.2504209766658896</v>
      </c>
      <c r="F10" s="201">
        <f ca="1">+SOR!F10/'Aggregate As% of GSDP'!L10*100</f>
        <v>8.7002609262883244</v>
      </c>
      <c r="G10" s="201">
        <f ca="1">+SOR!G10/'Aggregate As% of GSDP'!M10*100</f>
        <v>-2.2725372986715882</v>
      </c>
      <c r="H10" s="266">
        <f t="shared" si="0"/>
        <v>2.3001345697525495</v>
      </c>
      <c r="I10" s="173">
        <f ca="1">SOR!C10/'Aggregate As% of GSDP'!D10*100</f>
        <v>-8.7334335501288525</v>
      </c>
      <c r="J10" s="173">
        <f ca="1">SOR!D10/'Aggregate As% of GSDP'!E10*100</f>
        <v>6.9333566359365131</v>
      </c>
      <c r="K10" s="173">
        <f ca="1">SOR!E10/'Aggregate As% of GSDP'!F10*100</f>
        <v>23.554169409581039</v>
      </c>
      <c r="L10" s="173">
        <f ca="1">SOR!F10/'Aggregate As% of GSDP'!G10*100</f>
        <v>28.232791315484029</v>
      </c>
      <c r="M10" s="173">
        <f ca="1">SOR!G10/'Aggregate As% of GSDP'!H10*100</f>
        <v>-10.26061733357362</v>
      </c>
      <c r="N10" s="271">
        <f t="shared" si="1"/>
        <v>7.9452532954598212</v>
      </c>
    </row>
    <row r="11" spans="1:14" ht="15.75">
      <c r="A11" s="195">
        <v>6</v>
      </c>
      <c r="B11" s="196" t="s">
        <v>19</v>
      </c>
      <c r="C11" s="201">
        <f ca="1">+SOR!C11/'Aggregate As% of GSDP'!I11*100</f>
        <v>2.5387776065742171</v>
      </c>
      <c r="D11" s="201">
        <f ca="1">+SOR!D11/'Aggregate As% of GSDP'!J11*100</f>
        <v>3.525350779030731</v>
      </c>
      <c r="E11" s="201">
        <f ca="1">+SOR!E11/'Aggregate As% of GSDP'!K11*100</f>
        <v>0.20819891415532299</v>
      </c>
      <c r="F11" s="201">
        <f ca="1">+SOR!F11/'Aggregate As% of GSDP'!L11*100</f>
        <v>-1.573690188839983</v>
      </c>
      <c r="G11" s="201">
        <f ca="1">+SOR!G11/'Aggregate As% of GSDP'!M11*100</f>
        <v>5.7116703365838317</v>
      </c>
      <c r="H11" s="266">
        <f t="shared" si="0"/>
        <v>2.0820614895008243</v>
      </c>
      <c r="I11" s="173">
        <f ca="1">SOR!C11/'Aggregate As% of GSDP'!D11*100</f>
        <v>28.712664242480574</v>
      </c>
      <c r="J11" s="173">
        <f ca="1">SOR!D11/'Aggregate As% of GSDP'!E11*100</f>
        <v>31.719992874348428</v>
      </c>
      <c r="K11" s="173">
        <f ca="1">SOR!E11/'Aggregate As% of GSDP'!F11*100</f>
        <v>1.9553072625698324</v>
      </c>
      <c r="L11" s="173">
        <f ca="1">SOR!F11/'Aggregate As% of GSDP'!G11*100</f>
        <v>-26.099088704170292</v>
      </c>
      <c r="M11" s="173">
        <f ca="1">SOR!G11/'Aggregate As% of GSDP'!H11*100</f>
        <v>33.291895856252289</v>
      </c>
      <c r="N11" s="271">
        <f t="shared" si="1"/>
        <v>13.916154306296168</v>
      </c>
    </row>
    <row r="12" spans="1:14" ht="15.75">
      <c r="A12" s="195">
        <v>7</v>
      </c>
      <c r="B12" s="196" t="s">
        <v>20</v>
      </c>
      <c r="C12" s="201">
        <f ca="1">+SOR!C12/'Aggregate As% of GSDP'!I12*100</f>
        <v>6.3529874213836477</v>
      </c>
      <c r="D12" s="201">
        <f ca="1">+SOR!D12/'Aggregate As% of GSDP'!J12*100</f>
        <v>1.7448110115796327</v>
      </c>
      <c r="E12" s="201">
        <f ca="1">+SOR!E12/'Aggregate As% of GSDP'!K12*100</f>
        <v>-7.0344106463878324</v>
      </c>
      <c r="F12" s="201">
        <f ca="1">+SOR!F12/'Aggregate As% of GSDP'!L12*100</f>
        <v>1.6668867613073624</v>
      </c>
      <c r="G12" s="201">
        <f ca="1">+SOR!G12/'Aggregate As% of GSDP'!M12*100</f>
        <v>-0.33629181129439606</v>
      </c>
      <c r="H12" s="266">
        <f t="shared" si="0"/>
        <v>0.47879654731768284</v>
      </c>
      <c r="I12" s="173">
        <f ca="1">SOR!C12/'Aggregate As% of GSDP'!D12*100</f>
        <v>23.262039782377155</v>
      </c>
      <c r="J12" s="173">
        <f ca="1">SOR!D12/'Aggregate As% of GSDP'!E12*100</f>
        <v>9.3992749870533157</v>
      </c>
      <c r="K12" s="173">
        <f ca="1">SOR!E12/'Aggregate As% of GSDP'!F12*100</f>
        <v>-39.695532764021799</v>
      </c>
      <c r="L12" s="173">
        <f ca="1">SOR!F12/'Aggregate As% of GSDP'!G12*100</f>
        <v>7.987281097242656</v>
      </c>
      <c r="M12" s="173">
        <f ca="1">SOR!G12/'Aggregate As% of GSDP'!H12*100</f>
        <v>-1.4246951393875511</v>
      </c>
      <c r="N12" s="271">
        <f t="shared" si="1"/>
        <v>-9.4326407347245039E-2</v>
      </c>
    </row>
    <row r="13" spans="1:14" ht="15.75">
      <c r="A13" s="195">
        <v>8</v>
      </c>
      <c r="B13" s="196" t="s">
        <v>21</v>
      </c>
      <c r="C13" s="201">
        <f ca="1">+SOR!C13/'Aggregate As% of GSDP'!I13*100</f>
        <v>1.3425386996904023</v>
      </c>
      <c r="D13" s="201">
        <f ca="1">+SOR!D13/'Aggregate As% of GSDP'!J13*100</f>
        <v>1.706549385332768</v>
      </c>
      <c r="E13" s="201">
        <f ca="1">+SOR!E13/'Aggregate As% of GSDP'!K13*100</f>
        <v>-1.5780907966117825</v>
      </c>
      <c r="F13" s="201">
        <f ca="1">+SOR!F13/'Aggregate As% of GSDP'!L13*100</f>
        <v>-2.9134048257372656</v>
      </c>
      <c r="G13" s="201">
        <f ca="1">+SOR!G13/'Aggregate As% of GSDP'!M13*100</f>
        <v>-2.9857839459370363</v>
      </c>
      <c r="H13" s="266">
        <f t="shared" si="0"/>
        <v>-0.88563829665258287</v>
      </c>
      <c r="I13" s="173">
        <f ca="1">SOR!C13/'Aggregate As% of GSDP'!D13*100</f>
        <v>12.848744874013319</v>
      </c>
      <c r="J13" s="173">
        <f ca="1">SOR!D13/'Aggregate As% of GSDP'!E13*100</f>
        <v>15.527848491861446</v>
      </c>
      <c r="K13" s="173">
        <f ca="1">SOR!E13/'Aggregate As% of GSDP'!F13*100</f>
        <v>-16.23077080450334</v>
      </c>
      <c r="L13" s="173">
        <f ca="1">SOR!F13/'Aggregate As% of GSDP'!G13*100</f>
        <v>-21.403810549260083</v>
      </c>
      <c r="M13" s="173">
        <f ca="1">SOR!G13/'Aggregate As% of GSDP'!H13*100</f>
        <v>-21.388912747821621</v>
      </c>
      <c r="N13" s="271">
        <f t="shared" si="1"/>
        <v>-6.1293801471420561</v>
      </c>
    </row>
    <row r="14" spans="1:14" ht="15.75">
      <c r="A14" s="195">
        <v>9</v>
      </c>
      <c r="B14" s="196" t="s">
        <v>22</v>
      </c>
      <c r="C14" s="201">
        <f ca="1">+SOR!C14/'Aggregate As% of GSDP'!I14*100</f>
        <v>14.215482841181165</v>
      </c>
      <c r="D14" s="201">
        <f ca="1">+SOR!D14/'Aggregate As% of GSDP'!J14*100</f>
        <v>12.477237534840507</v>
      </c>
      <c r="E14" s="201">
        <f ca="1">+SOR!E14/'Aggregate As% of GSDP'!K14*100</f>
        <v>4.7775966085113319</v>
      </c>
      <c r="F14" s="201">
        <f ca="1">+SOR!F14/'Aggregate As% of GSDP'!L14*100</f>
        <v>-0.4159552134359692</v>
      </c>
      <c r="G14" s="201">
        <f ca="1">+SOR!G14/'Aggregate As% of GSDP'!M14*100</f>
        <v>2.769522940476195</v>
      </c>
      <c r="H14" s="266">
        <f t="shared" si="0"/>
        <v>6.7647769423146453</v>
      </c>
      <c r="I14" s="173">
        <f ca="1">SOR!C14/'Aggregate As% of GSDP'!D14*100</f>
        <v>46.238513057473632</v>
      </c>
      <c r="J14" s="173">
        <f ca="1">SOR!D14/'Aggregate As% of GSDP'!E14*100</f>
        <v>43.224366745700515</v>
      </c>
      <c r="K14" s="173">
        <f ca="1">SOR!E14/'Aggregate As% of GSDP'!F14*100</f>
        <v>23.954186116856466</v>
      </c>
      <c r="L14" s="173">
        <f ca="1">SOR!F14/'Aggregate As% of GSDP'!G14*100</f>
        <v>-4.4117865360350335</v>
      </c>
      <c r="M14" s="173">
        <f ca="1">SOR!G14/'Aggregate As% of GSDP'!H14*100</f>
        <v>15.992296602349409</v>
      </c>
      <c r="N14" s="271">
        <f t="shared" si="1"/>
        <v>24.999515197268998</v>
      </c>
    </row>
    <row r="15" spans="1:14" ht="15.75">
      <c r="A15" s="195">
        <v>10</v>
      </c>
      <c r="B15" s="196" t="s">
        <v>23</v>
      </c>
      <c r="C15" s="201">
        <f ca="1">+SOR!C15/'Aggregate As% of GSDP'!I15*100</f>
        <v>0.9877087395100449</v>
      </c>
      <c r="D15" s="201">
        <f ca="1">+SOR!D15/'Aggregate As% of GSDP'!J15*100</f>
        <v>4.5200766227068447</v>
      </c>
      <c r="E15" s="201">
        <f ca="1">+SOR!E15/'Aggregate As% of GSDP'!K15*100</f>
        <v>2.6278994005733645</v>
      </c>
      <c r="F15" s="201">
        <f ca="1">+SOR!F15/'Aggregate As% of GSDP'!L15*100</f>
        <v>1.2436878127336517</v>
      </c>
      <c r="G15" s="201">
        <f ca="1">+SOR!G15/'Aggregate As% of GSDP'!M15*100</f>
        <v>-2.6834929805889209</v>
      </c>
      <c r="H15" s="266">
        <f t="shared" si="0"/>
        <v>1.3391759189869969</v>
      </c>
      <c r="I15" s="173">
        <f ca="1">SOR!C15/'Aggregate As% of GSDP'!D15*100</f>
        <v>9.7341731967719838</v>
      </c>
      <c r="J15" s="173">
        <f ca="1">SOR!D15/'Aggregate As% of GSDP'!E15*100</f>
        <v>34.509894362632046</v>
      </c>
      <c r="K15" s="173">
        <f ca="1">SOR!E15/'Aggregate As% of GSDP'!F15*100</f>
        <v>22.646647613379226</v>
      </c>
      <c r="L15" s="173">
        <f ca="1">SOR!F15/'Aggregate As% of GSDP'!G15*100</f>
        <v>11.615751956639683</v>
      </c>
      <c r="M15" s="173">
        <f ca="1">SOR!G15/'Aggregate As% of GSDP'!H15*100</f>
        <v>-26.859977882166735</v>
      </c>
      <c r="N15" s="271">
        <f t="shared" si="1"/>
        <v>10.329297849451242</v>
      </c>
    </row>
    <row r="16" spans="1:14" ht="15.75">
      <c r="A16" s="195">
        <v>11</v>
      </c>
      <c r="B16" s="196" t="s">
        <v>24</v>
      </c>
      <c r="C16" s="201">
        <f ca="1">+SOR!C16/'Aggregate As% of GSDP'!I16*100</f>
        <v>6.0883853600786528</v>
      </c>
      <c r="D16" s="201">
        <f ca="1">+SOR!D16/'Aggregate As% of GSDP'!J16*100</f>
        <v>3.9222167183670691</v>
      </c>
      <c r="E16" s="201">
        <f ca="1">+SOR!E16/'Aggregate As% of GSDP'!K16*100</f>
        <v>3.0371716886599409</v>
      </c>
      <c r="F16" s="201">
        <f ca="1">+SOR!F16/'Aggregate As% of GSDP'!L16*100</f>
        <v>3.6618269463982522</v>
      </c>
      <c r="G16" s="201">
        <f ca="1">+SOR!G16/'Aggregate As% of GSDP'!M16*100</f>
        <v>4.3079250112918972</v>
      </c>
      <c r="H16" s="266">
        <f t="shared" si="0"/>
        <v>4.2035051449591618</v>
      </c>
      <c r="I16" s="173">
        <f ca="1">SOR!C16/'Aggregate As% of GSDP'!D16*100</f>
        <v>57.938535336131757</v>
      </c>
      <c r="J16" s="173">
        <f ca="1">SOR!D16/'Aggregate As% of GSDP'!E16*100</f>
        <v>53.667768748214129</v>
      </c>
      <c r="K16" s="173">
        <f ca="1">SOR!E16/'Aggregate As% of GSDP'!F16*100</f>
        <v>45.360130246691369</v>
      </c>
      <c r="L16" s="173">
        <f ca="1">SOR!F16/'Aggregate As% of GSDP'!G16*100</f>
        <v>47.122577809524948</v>
      </c>
      <c r="M16" s="173">
        <f ca="1">SOR!G16/'Aggregate As% of GSDP'!H16*100</f>
        <v>52.579277521199465</v>
      </c>
      <c r="N16" s="271">
        <f t="shared" si="1"/>
        <v>51.333657932352331</v>
      </c>
    </row>
    <row r="17" spans="1:14" ht="15.75">
      <c r="A17" s="193"/>
      <c r="B17" s="194" t="s">
        <v>143</v>
      </c>
      <c r="C17" s="202">
        <f ca="1">+SOR!C17/'Aggregate As% of GSDP'!I17*100</f>
        <v>2.8210524935535868</v>
      </c>
      <c r="D17" s="202">
        <f ca="1">+SOR!D17/'Aggregate As% of GSDP'!J17*100</f>
        <v>3.0923726702476899</v>
      </c>
      <c r="E17" s="202">
        <f ca="1">+SOR!E17/'Aggregate As% of GSDP'!K17*100</f>
        <v>1.3824655396459204</v>
      </c>
      <c r="F17" s="202">
        <f ca="1">+SOR!F17/'Aggregate As% of GSDP'!L17*100</f>
        <v>1.4348886590886445</v>
      </c>
      <c r="G17" s="202">
        <f ca="1">+SOR!G17/'Aggregate As% of GSDP'!M17*100</f>
        <v>0.70445927245629125</v>
      </c>
      <c r="H17" s="266">
        <f t="shared" si="0"/>
        <v>1.8870477269984263</v>
      </c>
      <c r="I17" s="182">
        <f ca="1">SOR!C17/'Aggregate As% of GSDP'!D17*100</f>
        <v>28.003585965719168</v>
      </c>
      <c r="J17" s="182">
        <f ca="1">SOR!D17/'Aggregate As% of GSDP'!E17*100</f>
        <v>30.821831825594039</v>
      </c>
      <c r="K17" s="182">
        <f ca="1">SOR!E17/'Aggregate As% of GSDP'!F17*100</f>
        <v>14.900457792804431</v>
      </c>
      <c r="L17" s="182">
        <f ca="1">SOR!F17/'Aggregate As% of GSDP'!G17*100</f>
        <v>15.717545387386203</v>
      </c>
      <c r="M17" s="182">
        <f ca="1">SOR!G17/'Aggregate As% of GSDP'!H17*100</f>
        <v>7.547776708739196</v>
      </c>
      <c r="N17" s="271">
        <f t="shared" si="1"/>
        <v>19.398239536048603</v>
      </c>
    </row>
    <row r="18" spans="1:14" ht="18.75" customHeight="1">
      <c r="A18" s="193" t="s">
        <v>140</v>
      </c>
      <c r="B18" s="194" t="s">
        <v>275</v>
      </c>
      <c r="C18" s="200"/>
      <c r="D18" s="200"/>
      <c r="E18" s="200"/>
      <c r="F18" s="200"/>
      <c r="G18" s="200"/>
      <c r="H18" s="265"/>
      <c r="I18" s="190"/>
      <c r="J18" s="190"/>
      <c r="K18" s="190"/>
      <c r="L18" s="190"/>
      <c r="M18" s="190"/>
      <c r="N18" s="270"/>
    </row>
    <row r="19" spans="1:14" ht="15.75">
      <c r="A19" s="195">
        <v>1</v>
      </c>
      <c r="B19" s="196" t="s">
        <v>27</v>
      </c>
      <c r="C19" s="201">
        <f ca="1">SOR!C19/'Aggregate As% of GSDP'!I19*100</f>
        <v>6.4103307722038414</v>
      </c>
      <c r="D19" s="201">
        <f ca="1">SOR!D19/'Aggregate As% of GSDP'!J19*100</f>
        <v>6.230700736939534</v>
      </c>
      <c r="E19" s="201">
        <f ca="1">SOR!E19/'Aggregate As% of GSDP'!K19*100</f>
        <v>5.1285289277769053</v>
      </c>
      <c r="F19" s="201">
        <f ca="1">SOR!F19/'Aggregate As% of GSDP'!L19*100</f>
        <v>4.8006954596468709</v>
      </c>
      <c r="G19" s="201">
        <f ca="1">SOR!G19/'Aggregate As% of GSDP'!M19*100</f>
        <v>5.082316017508191</v>
      </c>
      <c r="H19" s="266">
        <f ca="1">+AVERAGE(C19:G19)</f>
        <v>5.5305143828150687</v>
      </c>
      <c r="I19" s="173">
        <f ca="1">SOR!C19/'Aggregate As% of GSDP'!D19*100</f>
        <v>86.046064962502953</v>
      </c>
      <c r="J19" s="173">
        <f ca="1">SOR!D19/'Aggregate As% of GSDP'!E19*100</f>
        <v>86.812097594865676</v>
      </c>
      <c r="K19" s="173">
        <f ca="1">SOR!E19/'Aggregate As% of GSDP'!F19*100</f>
        <v>85.531903316584618</v>
      </c>
      <c r="L19" s="173">
        <f ca="1">SOR!F19/'Aggregate As% of GSDP'!G19*100</f>
        <v>89.495776109259964</v>
      </c>
      <c r="M19" s="173">
        <f ca="1">SOR!G19/'Aggregate As% of GSDP'!H19*100</f>
        <v>85.498855905875615</v>
      </c>
      <c r="N19" s="271">
        <f>+AVERAGE(I19:M19)</f>
        <v>86.676939577817777</v>
      </c>
    </row>
    <row r="20" spans="1:14" ht="15.75">
      <c r="A20" s="195">
        <v>2</v>
      </c>
      <c r="B20" s="196" t="s">
        <v>28</v>
      </c>
      <c r="C20" s="201">
        <f ca="1">SOR!C20/'Aggregate As% of GSDP'!I20*100</f>
        <v>6.6647167487684733</v>
      </c>
      <c r="D20" s="201">
        <f ca="1">SOR!D20/'Aggregate As% of GSDP'!J20*100</f>
        <v>7.093639960921851</v>
      </c>
      <c r="E20" s="201">
        <f ca="1">SOR!E20/'Aggregate As% of GSDP'!K20*100</f>
        <v>7.7323199023199036</v>
      </c>
      <c r="F20" s="201">
        <f ca="1">SOR!F20/'Aggregate As% of GSDP'!L20*100</f>
        <v>6.9428652108433742</v>
      </c>
      <c r="G20" s="201">
        <f ca="1">SOR!G20/'Aggregate As% of GSDP'!M20*100</f>
        <v>5.9568435803778499</v>
      </c>
      <c r="H20" s="266">
        <f t="shared" ref="H20:H36" si="2">+AVERAGE(C20:G20)</f>
        <v>6.8780770806462908</v>
      </c>
      <c r="I20" s="173">
        <f ca="1">SOR!C20/'Aggregate As% of GSDP'!D20*100</f>
        <v>72.597923761376279</v>
      </c>
      <c r="J20" s="173">
        <f ca="1">SOR!D20/'Aggregate As% of GSDP'!E20*100</f>
        <v>73.708249195748138</v>
      </c>
      <c r="K20" s="173">
        <f ca="1">SOR!E20/'Aggregate As% of GSDP'!F20*100</f>
        <v>77.292480216958964</v>
      </c>
      <c r="L20" s="173">
        <f ca="1">SOR!F20/'Aggregate As% of GSDP'!G20*100</f>
        <v>72.56907208807759</v>
      </c>
      <c r="M20" s="173">
        <f ca="1">SOR!G20/'Aggregate As% of GSDP'!H20*100</f>
        <v>67.890326220736469</v>
      </c>
      <c r="N20" s="271">
        <f t="shared" ref="N20:N36" si="3">+AVERAGE(I20:M20)</f>
        <v>72.811610296579488</v>
      </c>
    </row>
    <row r="21" spans="1:14" ht="15.75">
      <c r="A21" s="195">
        <v>3</v>
      </c>
      <c r="B21" s="196" t="s">
        <v>29</v>
      </c>
      <c r="C21" s="201">
        <f ca="1">SOR!C21/'Aggregate As% of GSDP'!I21*100</f>
        <v>6.7551056008971404</v>
      </c>
      <c r="D21" s="201">
        <f ca="1">SOR!D21/'Aggregate As% of GSDP'!J21*100</f>
        <v>5.9605762488140908</v>
      </c>
      <c r="E21" s="201">
        <f ca="1">SOR!E21/'Aggregate As% of GSDP'!K21*100</f>
        <v>8.1590437428220266</v>
      </c>
      <c r="F21" s="201">
        <f ca="1">SOR!F21/'Aggregate As% of GSDP'!L21*100</f>
        <v>7.8476188045965278</v>
      </c>
      <c r="G21" s="201">
        <f ca="1">SOR!G21/'Aggregate As% of GSDP'!M21*100</f>
        <v>9.8250575492857983</v>
      </c>
      <c r="H21" s="266">
        <f t="shared" si="2"/>
        <v>7.7094803892831179</v>
      </c>
      <c r="I21" s="173">
        <f ca="1">SOR!C21/'Aggregate As% of GSDP'!D21*100</f>
        <v>89.635098045699493</v>
      </c>
      <c r="J21" s="173">
        <f ca="1">SOR!D21/'Aggregate As% of GSDP'!E21*100</f>
        <v>88.196232034875123</v>
      </c>
      <c r="K21" s="173">
        <f ca="1">SOR!E21/'Aggregate As% of GSDP'!F21*100</f>
        <v>85.297800789276621</v>
      </c>
      <c r="L21" s="173">
        <f ca="1">SOR!F21/'Aggregate As% of GSDP'!G21*100</f>
        <v>81.401725931409175</v>
      </c>
      <c r="M21" s="173">
        <f ca="1">SOR!G21/'Aggregate As% of GSDP'!H21*100</f>
        <v>84.986269057546153</v>
      </c>
      <c r="N21" s="271">
        <f t="shared" si="3"/>
        <v>85.903425171761313</v>
      </c>
    </row>
    <row r="22" spans="1:14" ht="15.75">
      <c r="A22" s="195">
        <v>4</v>
      </c>
      <c r="B22" s="196" t="s">
        <v>30</v>
      </c>
      <c r="C22" s="201">
        <f ca="1">SOR!C22/'Aggregate As% of GSDP'!I22*100</f>
        <v>6.0433427038078209</v>
      </c>
      <c r="D22" s="201">
        <f ca="1">SOR!D22/'Aggregate As% of GSDP'!J22*100</f>
        <v>5.5916414968127794</v>
      </c>
      <c r="E22" s="201">
        <f ca="1">SOR!E22/'Aggregate As% of GSDP'!K22*100</f>
        <v>7.3512669092906684</v>
      </c>
      <c r="F22" s="201">
        <f ca="1">SOR!F22/'Aggregate As% of GSDP'!L22*100</f>
        <v>6.1475908239412824</v>
      </c>
      <c r="G22" s="201">
        <f ca="1">SOR!G22/'Aggregate As% of GSDP'!M22*100</f>
        <v>6.7747613585245157</v>
      </c>
      <c r="H22" s="266">
        <f t="shared" si="2"/>
        <v>6.3817206584754134</v>
      </c>
      <c r="I22" s="173">
        <f ca="1">SOR!C22/'Aggregate As% of GSDP'!D22*100</f>
        <v>93.462864008600462</v>
      </c>
      <c r="J22" s="173">
        <f ca="1">SOR!D22/'Aggregate As% of GSDP'!E22*100</f>
        <v>87.512314715632328</v>
      </c>
      <c r="K22" s="173">
        <f ca="1">SOR!E22/'Aggregate As% of GSDP'!F22*100</f>
        <v>96.044516016166455</v>
      </c>
      <c r="L22" s="173">
        <f ca="1">SOR!F22/'Aggregate As% of GSDP'!G22*100</f>
        <v>81.945229031069644</v>
      </c>
      <c r="M22" s="173">
        <f ca="1">SOR!G22/'Aggregate As% of GSDP'!H22*100</f>
        <v>91.551138046234186</v>
      </c>
      <c r="N22" s="271">
        <f t="shared" si="3"/>
        <v>90.103212363540621</v>
      </c>
    </row>
    <row r="23" spans="1:14" ht="15.75">
      <c r="A23" s="195">
        <v>5</v>
      </c>
      <c r="B23" s="196" t="s">
        <v>31</v>
      </c>
      <c r="C23" s="201">
        <f ca="1">SOR!C23/'Aggregate As% of GSDP'!I23*100</f>
        <v>4.1085958971711429</v>
      </c>
      <c r="D23" s="201">
        <f ca="1">SOR!D23/'Aggregate As% of GSDP'!J23*100</f>
        <v>5.427493531061776</v>
      </c>
      <c r="E23" s="201">
        <f ca="1">SOR!E23/'Aggregate As% of GSDP'!K23*100</f>
        <v>4.8784647589199048</v>
      </c>
      <c r="F23" s="201">
        <f ca="1">SOR!F23/'Aggregate As% of GSDP'!L23*100</f>
        <v>4.9735664191218163</v>
      </c>
      <c r="G23" s="201">
        <f ca="1">SOR!G23/'Aggregate As% of GSDP'!M23*100</f>
        <v>6.0597714751575102</v>
      </c>
      <c r="H23" s="266">
        <f t="shared" si="2"/>
        <v>5.0895784162864306</v>
      </c>
      <c r="I23" s="173">
        <f ca="1">SOR!C23/'Aggregate As% of GSDP'!D23*100</f>
        <v>85.815965879105221</v>
      </c>
      <c r="J23" s="173">
        <f ca="1">SOR!D23/'Aggregate As% of GSDP'!E23*100</f>
        <v>91.010272177612322</v>
      </c>
      <c r="K23" s="173">
        <f ca="1">SOR!E23/'Aggregate As% of GSDP'!F23*100</f>
        <v>92.365436979705706</v>
      </c>
      <c r="L23" s="173">
        <f ca="1">SOR!F23/'Aggregate As% of GSDP'!G23*100</f>
        <v>92.631204554074188</v>
      </c>
      <c r="M23" s="173">
        <f ca="1">SOR!G23/'Aggregate As% of GSDP'!H23*100</f>
        <v>88.822323933707963</v>
      </c>
      <c r="N23" s="271">
        <f t="shared" si="3"/>
        <v>90.129040704841074</v>
      </c>
    </row>
    <row r="24" spans="1:14" ht="15.75">
      <c r="A24" s="195">
        <v>6</v>
      </c>
      <c r="B24" s="196" t="s">
        <v>32</v>
      </c>
      <c r="C24" s="201">
        <f ca="1">SOR!C24/'Aggregate As% of GSDP'!I24*100</f>
        <v>6.8066335516811458</v>
      </c>
      <c r="D24" s="201">
        <f ca="1">SOR!D24/'Aggregate As% of GSDP'!J24*100</f>
        <v>7.2931976479743099</v>
      </c>
      <c r="E24" s="201">
        <f ca="1">SOR!E24/'Aggregate As% of GSDP'!K24*100</f>
        <v>8.0780481913699234</v>
      </c>
      <c r="F24" s="201">
        <f ca="1">SOR!F24/'Aggregate As% of GSDP'!L24*100</f>
        <v>5.6988805758121037</v>
      </c>
      <c r="G24" s="201">
        <f ca="1">SOR!G24/'Aggregate As% of GSDP'!M24*100</f>
        <v>6.177961630462578</v>
      </c>
      <c r="H24" s="266">
        <f t="shared" si="2"/>
        <v>6.8109443194600114</v>
      </c>
      <c r="I24" s="173">
        <f ca="1">SOR!C24/'Aggregate As% of GSDP'!D24*100</f>
        <v>96.347015761559703</v>
      </c>
      <c r="J24" s="173">
        <f ca="1">SOR!D24/'Aggregate As% of GSDP'!E24*100</f>
        <v>96.098565890269413</v>
      </c>
      <c r="K24" s="173">
        <f ca="1">SOR!E24/'Aggregate As% of GSDP'!F24*100</f>
        <v>95.44199895044639</v>
      </c>
      <c r="L24" s="173">
        <f ca="1">SOR!F24/'Aggregate As% of GSDP'!G24*100</f>
        <v>95.685702309706642</v>
      </c>
      <c r="M24" s="173">
        <f ca="1">SOR!G24/'Aggregate As% of GSDP'!H24*100</f>
        <v>94.822051972737341</v>
      </c>
      <c r="N24" s="271">
        <f t="shared" si="3"/>
        <v>95.679066976943915</v>
      </c>
    </row>
    <row r="25" spans="1:14" ht="15.75">
      <c r="A25" s="195">
        <v>7</v>
      </c>
      <c r="B25" s="196" t="s">
        <v>33</v>
      </c>
      <c r="C25" s="201">
        <f ca="1">SOR!C25/'Aggregate As% of GSDP'!I25*100</f>
        <v>5.116295413936867</v>
      </c>
      <c r="D25" s="201">
        <f ca="1">SOR!D25/'Aggregate As% of GSDP'!J25*100</f>
        <v>5.8587944506458305</v>
      </c>
      <c r="E25" s="201">
        <f ca="1">SOR!E25/'Aggregate As% of GSDP'!K25*100</f>
        <v>5.0439669651464403</v>
      </c>
      <c r="F25" s="201">
        <f ca="1">SOR!F25/'Aggregate As% of GSDP'!L25*100</f>
        <v>4.933203012074264</v>
      </c>
      <c r="G25" s="201">
        <f ca="1">SOR!G25/'Aggregate As% of GSDP'!M25*100</f>
        <v>9.0561664304049643</v>
      </c>
      <c r="H25" s="266">
        <f t="shared" si="2"/>
        <v>6.0016852544416732</v>
      </c>
      <c r="I25" s="173">
        <f ca="1">SOR!C25/'Aggregate As% of GSDP'!D25*100</f>
        <v>77.749900892241342</v>
      </c>
      <c r="J25" s="173">
        <f ca="1">SOR!D25/'Aggregate As% of GSDP'!E25*100</f>
        <v>77.145059714766944</v>
      </c>
      <c r="K25" s="173">
        <f ca="1">SOR!E25/'Aggregate As% of GSDP'!F25*100</f>
        <v>75.227485292570037</v>
      </c>
      <c r="L25" s="173">
        <f ca="1">SOR!F25/'Aggregate As% of GSDP'!G25*100</f>
        <v>66.853856137466252</v>
      </c>
      <c r="M25" s="173">
        <f ca="1">SOR!G25/'Aggregate As% of GSDP'!H25*100</f>
        <v>77.246732026143775</v>
      </c>
      <c r="N25" s="271">
        <f t="shared" si="3"/>
        <v>74.844606812637664</v>
      </c>
    </row>
    <row r="26" spans="1:14" ht="15.75">
      <c r="A26" s="195">
        <v>8</v>
      </c>
      <c r="B26" s="196" t="s">
        <v>34</v>
      </c>
      <c r="C26" s="201">
        <f ca="1">SOR!C26/'Aggregate As% of GSDP'!I26*100</f>
        <v>5.602813830003436</v>
      </c>
      <c r="D26" s="201">
        <f ca="1">SOR!D26/'Aggregate As% of GSDP'!J26*100</f>
        <v>6.768996203820671</v>
      </c>
      <c r="E26" s="201">
        <f ca="1">SOR!E26/'Aggregate As% of GSDP'!K26*100</f>
        <v>7.1058688890573913</v>
      </c>
      <c r="F26" s="201">
        <f ca="1">SOR!F26/'Aggregate As% of GSDP'!L26*100</f>
        <v>6.7139875447573214</v>
      </c>
      <c r="G26" s="201">
        <f ca="1">SOR!G26/'Aggregate As% of GSDP'!M26*100</f>
        <v>7.1249115621066101</v>
      </c>
      <c r="H26" s="266">
        <f t="shared" si="2"/>
        <v>6.6633156059490855</v>
      </c>
      <c r="I26" s="173">
        <f ca="1">SOR!C26/'Aggregate As% of GSDP'!D26*100</f>
        <v>88.780134304579448</v>
      </c>
      <c r="J26" s="173">
        <f ca="1">SOR!D26/'Aggregate As% of GSDP'!E26*100</f>
        <v>91.225454259603964</v>
      </c>
      <c r="K26" s="173">
        <f ca="1">SOR!E26/'Aggregate As% of GSDP'!F26*100</f>
        <v>88.971818252177286</v>
      </c>
      <c r="L26" s="173">
        <f ca="1">SOR!F26/'Aggregate As% of GSDP'!G26*100</f>
        <v>86.061941673514724</v>
      </c>
      <c r="M26" s="173">
        <f ca="1">SOR!G26/'Aggregate As% of GSDP'!H26*100</f>
        <v>86.927796801396823</v>
      </c>
      <c r="N26" s="271">
        <f t="shared" si="3"/>
        <v>88.393429058254455</v>
      </c>
    </row>
    <row r="27" spans="1:14" ht="15.75">
      <c r="A27" s="195">
        <v>9</v>
      </c>
      <c r="B27" s="196" t="s">
        <v>35</v>
      </c>
      <c r="C27" s="201">
        <f ca="1">SOR!C27/'Aggregate As% of GSDP'!I27*100</f>
        <v>2.8308677008810079</v>
      </c>
      <c r="D27" s="201">
        <f ca="1">SOR!D27/'Aggregate As% of GSDP'!J27*100</f>
        <v>2.6636417605519194</v>
      </c>
      <c r="E27" s="201">
        <f ca="1">SOR!E27/'Aggregate As% of GSDP'!K27*100</f>
        <v>3.3461427569379594</v>
      </c>
      <c r="F27" s="201">
        <f ca="1">SOR!F27/'Aggregate As% of GSDP'!L27*100</f>
        <v>3.0657949364072534</v>
      </c>
      <c r="G27" s="201">
        <f ca="1">SOR!G27/'Aggregate As% of GSDP'!M27*100</f>
        <v>2.5990306756939048</v>
      </c>
      <c r="H27" s="266">
        <f t="shared" si="2"/>
        <v>2.9010955660944089</v>
      </c>
      <c r="I27" s="173">
        <f ca="1">SOR!C27/'Aggregate As% of GSDP'!D27*100</f>
        <v>85.256413563274151</v>
      </c>
      <c r="J27" s="173">
        <f ca="1">SOR!D27/'Aggregate As% of GSDP'!E27*100</f>
        <v>80.744848842703064</v>
      </c>
      <c r="K27" s="173">
        <f ca="1">SOR!E27/'Aggregate As% of GSDP'!F27*100</f>
        <v>91.042567241629584</v>
      </c>
      <c r="L27" s="173">
        <f ca="1">SOR!F27/'Aggregate As% of GSDP'!G27*100</f>
        <v>91.884119126835998</v>
      </c>
      <c r="M27" s="173">
        <f ca="1">SOR!G27/'Aggregate As% of GSDP'!H27*100</f>
        <v>87.242858812991585</v>
      </c>
      <c r="N27" s="271">
        <f t="shared" si="3"/>
        <v>87.234161517486882</v>
      </c>
    </row>
    <row r="28" spans="1:14" ht="15.75">
      <c r="A28" s="195">
        <v>10</v>
      </c>
      <c r="B28" s="196" t="s">
        <v>36</v>
      </c>
      <c r="C28" s="201">
        <f ca="1">SOR!C28/'Aggregate As% of GSDP'!I28*100</f>
        <v>5.0618037020293656</v>
      </c>
      <c r="D28" s="201">
        <f ca="1">SOR!D28/'Aggregate As% of GSDP'!J28*100</f>
        <v>4.625519576633752</v>
      </c>
      <c r="E28" s="201">
        <f ca="1">SOR!E28/'Aggregate As% of GSDP'!K28*100</f>
        <v>5.0259667345076844</v>
      </c>
      <c r="F28" s="201">
        <f ca="1">SOR!F28/'Aggregate As% of GSDP'!L28*100</f>
        <v>5.5572746857755098</v>
      </c>
      <c r="G28" s="201">
        <f ca="1">SOR!G28/'Aggregate As% of GSDP'!M28*100</f>
        <v>7.3274263048254999</v>
      </c>
      <c r="H28" s="266">
        <f t="shared" si="2"/>
        <v>5.5195982007543627</v>
      </c>
      <c r="I28" s="173">
        <f ca="1">SOR!C28/'Aggregate As% of GSDP'!D28*100</f>
        <v>75.783002170460406</v>
      </c>
      <c r="J28" s="173">
        <f ca="1">SOR!D28/'Aggregate As% of GSDP'!E28*100</f>
        <v>76.367708275796275</v>
      </c>
      <c r="K28" s="173">
        <f ca="1">SOR!E28/'Aggregate As% of GSDP'!F28*100</f>
        <v>78.693262201905938</v>
      </c>
      <c r="L28" s="173">
        <f ca="1">SOR!F28/'Aggregate As% of GSDP'!G28*100</f>
        <v>76.195989726319496</v>
      </c>
      <c r="M28" s="173">
        <f ca="1">SOR!G28/'Aggregate As% of GSDP'!H28*100</f>
        <v>81.463374396817287</v>
      </c>
      <c r="N28" s="271">
        <f t="shared" si="3"/>
        <v>77.700667354259878</v>
      </c>
    </row>
    <row r="29" spans="1:14" ht="15.75">
      <c r="A29" s="195">
        <v>11</v>
      </c>
      <c r="B29" s="196" t="s">
        <v>37</v>
      </c>
      <c r="C29" s="201">
        <f ca="1">SOR!C29/'Aggregate As% of GSDP'!I29*100</f>
        <v>2.1916100641527887</v>
      </c>
      <c r="D29" s="201">
        <f ca="1">SOR!D29/'Aggregate As% of GSDP'!J29*100</f>
        <v>2.1960416958645252</v>
      </c>
      <c r="E29" s="201">
        <f ca="1">SOR!E29/'Aggregate As% of GSDP'!K29*100</f>
        <v>2.7217290004770729</v>
      </c>
      <c r="F29" s="201">
        <f ca="1">SOR!F29/'Aggregate As% of GSDP'!L29*100</f>
        <v>2.4926268986355171</v>
      </c>
      <c r="G29" s="201">
        <f ca="1">SOR!G29/'Aggregate As% of GSDP'!M29*100</f>
        <v>2.9231993167850261</v>
      </c>
      <c r="H29" s="266">
        <f t="shared" si="2"/>
        <v>2.5050413951829862</v>
      </c>
      <c r="I29" s="173">
        <f ca="1">SOR!C29/'Aggregate As% of GSDP'!D29*100</f>
        <v>79.745434006509981</v>
      </c>
      <c r="J29" s="173">
        <f ca="1">SOR!D29/'Aggregate As% of GSDP'!E29*100</f>
        <v>71.308372655938427</v>
      </c>
      <c r="K29" s="173">
        <f ca="1">SOR!E29/'Aggregate As% of GSDP'!F29*100</f>
        <v>81.969670390622824</v>
      </c>
      <c r="L29" s="173">
        <f ca="1">SOR!F29/'Aggregate As% of GSDP'!G29*100</f>
        <v>77.637280013019904</v>
      </c>
      <c r="M29" s="173">
        <f ca="1">SOR!G29/'Aggregate As% of GSDP'!H29*100</f>
        <v>82.149000000000015</v>
      </c>
      <c r="N29" s="271">
        <f t="shared" si="3"/>
        <v>78.561951413218225</v>
      </c>
    </row>
    <row r="30" spans="1:14" ht="15.75">
      <c r="A30" s="195">
        <v>12</v>
      </c>
      <c r="B30" s="196" t="s">
        <v>104</v>
      </c>
      <c r="C30" s="201">
        <f ca="1">SOR!C30/'Aggregate As% of GSDP'!I30*100</f>
        <v>2.9300942184816745</v>
      </c>
      <c r="D30" s="201">
        <f ca="1">SOR!D30/'Aggregate As% of GSDP'!J30*100</f>
        <v>3.4000579159679711</v>
      </c>
      <c r="E30" s="201">
        <f ca="1">SOR!E30/'Aggregate As% of GSDP'!K30*100</f>
        <v>4.0479617900529536</v>
      </c>
      <c r="F30" s="201">
        <f ca="1">SOR!F30/'Aggregate As% of GSDP'!L30*100</f>
        <v>4.0822189634308916</v>
      </c>
      <c r="G30" s="201">
        <f ca="1">SOR!G30/'Aggregate As% of GSDP'!M30*100</f>
        <v>4.7979410880673274</v>
      </c>
      <c r="H30" s="266">
        <f t="shared" si="2"/>
        <v>3.8516547952001638</v>
      </c>
      <c r="I30" s="173">
        <f ca="1">SOR!C30/'Aggregate As% of GSDP'!D30*100</f>
        <v>63.655032526186474</v>
      </c>
      <c r="J30" s="173">
        <f ca="1">SOR!D30/'Aggregate As% of GSDP'!E30*100</f>
        <v>64.731766232367548</v>
      </c>
      <c r="K30" s="173">
        <f ca="1">SOR!E30/'Aggregate As% of GSDP'!F30*100</f>
        <v>70.473838170633798</v>
      </c>
      <c r="L30" s="173">
        <f ca="1">SOR!F30/'Aggregate As% of GSDP'!G30*100</f>
        <v>70.844819761699256</v>
      </c>
      <c r="M30" s="173">
        <f ca="1">SOR!G30/'Aggregate As% of GSDP'!H30*100</f>
        <v>71.412302631578953</v>
      </c>
      <c r="N30" s="271">
        <f t="shared" si="3"/>
        <v>68.223551864493203</v>
      </c>
    </row>
    <row r="31" spans="1:14" ht="15.75">
      <c r="A31" s="195">
        <v>13</v>
      </c>
      <c r="B31" s="196" t="s">
        <v>39</v>
      </c>
      <c r="C31" s="201">
        <f ca="1">SOR!C31/'Aggregate As% of GSDP'!I31*100</f>
        <v>2.9438996354560083</v>
      </c>
      <c r="D31" s="201">
        <f ca="1">SOR!D31/'Aggregate As% of GSDP'!J31*100</f>
        <v>3.4443199512752889</v>
      </c>
      <c r="E31" s="201">
        <f ca="1">SOR!E31/'Aggregate As% of GSDP'!K31*100</f>
        <v>1.7235285519146339</v>
      </c>
      <c r="F31" s="201">
        <f ca="1">SOR!F31/'Aggregate As% of GSDP'!L31*100</f>
        <v>2.967600844538282</v>
      </c>
      <c r="G31" s="201">
        <f ca="1">SOR!G31/'Aggregate As% of GSDP'!M31*100</f>
        <v>2.2333095718502944</v>
      </c>
      <c r="H31" s="266">
        <f t="shared" si="2"/>
        <v>2.6625317110069018</v>
      </c>
      <c r="I31" s="173">
        <f ca="1">SOR!C31/'Aggregate As% of GSDP'!D31*100</f>
        <v>87.887897309794312</v>
      </c>
      <c r="J31" s="173">
        <f ca="1">SOR!D31/'Aggregate As% of GSDP'!E31*100</f>
        <v>90.497304462168088</v>
      </c>
      <c r="K31" s="173">
        <f ca="1">SOR!E31/'Aggregate As% of GSDP'!F31*100</f>
        <v>72.773862908392005</v>
      </c>
      <c r="L31" s="173">
        <f ca="1">SOR!F31/'Aggregate As% of GSDP'!G31*100</f>
        <v>87.489860450975726</v>
      </c>
      <c r="M31" s="173">
        <f ca="1">SOR!G31/'Aggregate As% of GSDP'!H31*100</f>
        <v>78.712987934705453</v>
      </c>
      <c r="N31" s="271">
        <f t="shared" si="3"/>
        <v>83.472382613207103</v>
      </c>
    </row>
    <row r="32" spans="1:14" ht="15.75">
      <c r="A32" s="195">
        <v>14</v>
      </c>
      <c r="B32" s="196" t="s">
        <v>40</v>
      </c>
      <c r="C32" s="201">
        <f ca="1">SOR!C32/'Aggregate As% of GSDP'!I32*100</f>
        <v>5.5781893215345297</v>
      </c>
      <c r="D32" s="201">
        <f ca="1">SOR!D32/'Aggregate As% of GSDP'!J32*100</f>
        <v>5.4030803337533397</v>
      </c>
      <c r="E32" s="201">
        <f ca="1">SOR!E32/'Aggregate As% of GSDP'!K32*100</f>
        <v>6.2127038874412177</v>
      </c>
      <c r="F32" s="201">
        <f ca="1">SOR!F32/'Aggregate As% of GSDP'!L32*100</f>
        <v>5.9282999981463291</v>
      </c>
      <c r="G32" s="201">
        <f ca="1">SOR!G32/'Aggregate As% of GSDP'!M32*100</f>
        <v>6.7851053431798443</v>
      </c>
      <c r="H32" s="266">
        <f t="shared" si="2"/>
        <v>5.9814757768110516</v>
      </c>
      <c r="I32" s="173">
        <f ca="1">SOR!C32/'Aggregate As% of GSDP'!D32*100</f>
        <v>86.003569125089484</v>
      </c>
      <c r="J32" s="173">
        <f ca="1">SOR!D32/'Aggregate As% of GSDP'!E32*100</f>
        <v>85.726632128766227</v>
      </c>
      <c r="K32" s="173">
        <f ca="1">SOR!E32/'Aggregate As% of GSDP'!F32*100</f>
        <v>91.059181029467183</v>
      </c>
      <c r="L32" s="173">
        <f ca="1">SOR!F32/'Aggregate As% of GSDP'!G32*100</f>
        <v>88.522230618272218</v>
      </c>
      <c r="M32" s="173">
        <f ca="1">SOR!G32/'Aggregate As% of GSDP'!H32*100</f>
        <v>89.584292234300207</v>
      </c>
      <c r="N32" s="271">
        <f t="shared" si="3"/>
        <v>88.179181027179055</v>
      </c>
    </row>
    <row r="33" spans="1:14" ht="15.75">
      <c r="A33" s="195">
        <v>15</v>
      </c>
      <c r="B33" s="196" t="s">
        <v>41</v>
      </c>
      <c r="C33" s="201">
        <f ca="1">SOR!C33/'Aggregate As% of GSDP'!I33*100</f>
        <v>3.4372517737066692</v>
      </c>
      <c r="D33" s="201">
        <f ca="1">SOR!D33/'Aggregate As% of GSDP'!J33*100</f>
        <v>3.2136190124982562</v>
      </c>
      <c r="E33" s="201">
        <f ca="1">SOR!E33/'Aggregate As% of GSDP'!K33*100</f>
        <v>3.2477841240723753</v>
      </c>
      <c r="F33" s="201">
        <f ca="1">SOR!F33/'Aggregate As% of GSDP'!L33*100</f>
        <v>3.2348443386732857</v>
      </c>
      <c r="G33" s="201">
        <f ca="1">SOR!G33/'Aggregate As% of GSDP'!M33*100</f>
        <v>3.2303071084855839</v>
      </c>
      <c r="H33" s="266">
        <f t="shared" si="2"/>
        <v>3.2727612714872345</v>
      </c>
      <c r="I33" s="173">
        <f ca="1">SOR!C33/'Aggregate As% of GSDP'!D33*100</f>
        <v>84.774037354313876</v>
      </c>
      <c r="J33" s="173">
        <f ca="1">SOR!D33/'Aggregate As% of GSDP'!E33*100</f>
        <v>79.246271912307748</v>
      </c>
      <c r="K33" s="173">
        <f ca="1">SOR!E33/'Aggregate As% of GSDP'!F33*100</f>
        <v>87.36508552433844</v>
      </c>
      <c r="L33" s="173">
        <f ca="1">SOR!F33/'Aggregate As% of GSDP'!G33*100</f>
        <v>89.533720633068441</v>
      </c>
      <c r="M33" s="173">
        <f ca="1">SOR!G33/'Aggregate As% of GSDP'!H33*100</f>
        <v>87.709666454217142</v>
      </c>
      <c r="N33" s="271">
        <f t="shared" si="3"/>
        <v>85.725756375649127</v>
      </c>
    </row>
    <row r="34" spans="1:14" ht="15.75">
      <c r="A34" s="195">
        <v>16</v>
      </c>
      <c r="B34" s="196" t="s">
        <v>42</v>
      </c>
      <c r="C34" s="201">
        <f ca="1">SOR!C34/'Aggregate As% of GSDP'!I34*100</f>
        <v>5.8621425177403097</v>
      </c>
      <c r="D34" s="201">
        <f ca="1">SOR!D34/'Aggregate As% of GSDP'!J34*100</f>
        <v>6.6569121962737672</v>
      </c>
      <c r="E34" s="201">
        <f ca="1">SOR!E34/'Aggregate As% of GSDP'!K34*100</f>
        <v>5.3169365798089805</v>
      </c>
      <c r="F34" s="201">
        <f ca="1">SOR!F34/'Aggregate As% of GSDP'!L34*100</f>
        <v>5.2142992867044828</v>
      </c>
      <c r="G34" s="201">
        <f ca="1">SOR!G34/'Aggregate As% of GSDP'!M34*100</f>
        <v>5.7133517291912606</v>
      </c>
      <c r="H34" s="266">
        <f t="shared" si="2"/>
        <v>5.7527284619437591</v>
      </c>
      <c r="I34" s="173">
        <f ca="1">SOR!C34/'Aggregate As% of GSDP'!D34*100</f>
        <v>88.928322762626038</v>
      </c>
      <c r="J34" s="173">
        <f ca="1">SOR!D34/'Aggregate As% of GSDP'!E34*100</f>
        <v>85.068818511382091</v>
      </c>
      <c r="K34" s="173">
        <f ca="1">SOR!E34/'Aggregate As% of GSDP'!F34*100</f>
        <v>82.812805604319948</v>
      </c>
      <c r="L34" s="173">
        <f ca="1">SOR!F34/'Aggregate As% of GSDP'!G34*100</f>
        <v>82.113403550622863</v>
      </c>
      <c r="M34" s="173">
        <f ca="1">SOR!G34/'Aggregate As% of GSDP'!H34*100</f>
        <v>83.613808510638293</v>
      </c>
      <c r="N34" s="271">
        <f t="shared" si="3"/>
        <v>84.507431787917852</v>
      </c>
    </row>
    <row r="35" spans="1:14" ht="15.75">
      <c r="A35" s="195">
        <v>17</v>
      </c>
      <c r="B35" s="196" t="s">
        <v>43</v>
      </c>
      <c r="C35" s="201">
        <f ca="1">SOR!C35/'Aggregate As% of GSDP'!I35*100</f>
        <v>1.6475592938497343</v>
      </c>
      <c r="D35" s="201">
        <f ca="1">SOR!D35/'Aggregate As% of GSDP'!J35*100</f>
        <v>1.6776500108205485</v>
      </c>
      <c r="E35" s="201">
        <f ca="1">SOR!E35/'Aggregate As% of GSDP'!K35*100</f>
        <v>2.378757836528941</v>
      </c>
      <c r="F35" s="201">
        <f ca="1">SOR!F35/'Aggregate As% of GSDP'!L35*100</f>
        <v>2.0396558990717151</v>
      </c>
      <c r="G35" s="201">
        <f ca="1">SOR!G35/'Aggregate As% of GSDP'!M35*100</f>
        <v>3.2590890458763706</v>
      </c>
      <c r="H35" s="266">
        <f t="shared" si="2"/>
        <v>2.2005424172294616</v>
      </c>
      <c r="I35" s="173">
        <f ca="1">SOR!C35/'Aggregate As% of GSDP'!D35*100</f>
        <v>67.085244715882681</v>
      </c>
      <c r="J35" s="173">
        <f ca="1">SOR!D35/'Aggregate As% of GSDP'!E35*100</f>
        <v>65.542077547863329</v>
      </c>
      <c r="K35" s="173">
        <f ca="1">SOR!E35/'Aggregate As% of GSDP'!F35*100</f>
        <v>77.636824610390306</v>
      </c>
      <c r="L35" s="173">
        <f ca="1">SOR!F35/'Aggregate As% of GSDP'!G35*100</f>
        <v>69.606198263236365</v>
      </c>
      <c r="M35" s="173">
        <f ca="1">SOR!G35/'Aggregate As% of GSDP'!H35*100</f>
        <v>79.457864409831629</v>
      </c>
      <c r="N35" s="271">
        <f t="shared" si="3"/>
        <v>71.865641909440868</v>
      </c>
    </row>
    <row r="36" spans="1:14" ht="15.75">
      <c r="A36" s="193"/>
      <c r="B36" s="194" t="s">
        <v>139</v>
      </c>
      <c r="C36" s="202">
        <f ca="1">SOR!C36/'Aggregate As% of GSDP'!I36*100</f>
        <v>4.2514585661615474</v>
      </c>
      <c r="D36" s="202">
        <f ca="1">SOR!D36/'Aggregate As% of GSDP'!J36*100</f>
        <v>4.5441739575107913</v>
      </c>
      <c r="E36" s="202">
        <f ca="1">SOR!E36/'Aggregate As% of GSDP'!K36*100</f>
        <v>4.5447507248376224</v>
      </c>
      <c r="F36" s="202">
        <f ca="1">SOR!F36/'Aggregate As% of GSDP'!L36*100</f>
        <v>4.3421571987396863</v>
      </c>
      <c r="G36" s="202">
        <f ca="1">SOR!G36/'Aggregate As% of GSDP'!M36*100</f>
        <v>4.9102249784456022</v>
      </c>
      <c r="H36" s="266">
        <f t="shared" si="2"/>
        <v>4.5185530851390503</v>
      </c>
      <c r="I36" s="182">
        <f ca="1">SOR!C36/'Aggregate As% of GSDP'!D36*100</f>
        <v>83.825028911221949</v>
      </c>
      <c r="J36" s="182">
        <f ca="1">SOR!D36/'Aggregate As% of GSDP'!E36*100</f>
        <v>82.906440726874365</v>
      </c>
      <c r="K36" s="182">
        <f ca="1">SOR!E36/'Aggregate As% of GSDP'!F36*100</f>
        <v>84.944601682691285</v>
      </c>
      <c r="L36" s="182">
        <f ca="1">SOR!F36/'Aggregate As% of GSDP'!G36*100</f>
        <v>83.356464073760989</v>
      </c>
      <c r="M36" s="182">
        <f ca="1">SOR!G36/'Aggregate As% of GSDP'!H36*100</f>
        <v>83.851839491269743</v>
      </c>
      <c r="N36" s="271">
        <f t="shared" si="3"/>
        <v>83.776874977163658</v>
      </c>
    </row>
    <row r="37" spans="1:14" ht="15.75">
      <c r="A37" s="193"/>
      <c r="B37" s="194" t="s">
        <v>144</v>
      </c>
      <c r="C37" s="202">
        <f ca="1">SOR!C37/'Aggregate As% of GSDP'!I37*100</f>
        <v>4.1707597659720337</v>
      </c>
      <c r="D37" s="202">
        <f ca="1">SOR!D37/'Aggregate As% of GSDP'!J37*100</f>
        <v>4.4608160988148784</v>
      </c>
      <c r="E37" s="202">
        <f ca="1">SOR!E37/'Aggregate As% of GSDP'!K37*100</f>
        <v>4.360481235501859</v>
      </c>
      <c r="F37" s="202">
        <f ca="1">SOR!F37/'Aggregate As% of GSDP'!L37*100</f>
        <v>4.1774390813477824</v>
      </c>
      <c r="G37" s="202">
        <f ca="1">SOR!G37/'Aggregate As% of GSDP'!M37*100</f>
        <v>4.6762156198371336</v>
      </c>
      <c r="H37" s="266">
        <f t="shared" ref="H37:H42" si="4">+AVERAGE(C37:G37)</f>
        <v>4.3691423602947372</v>
      </c>
      <c r="I37" s="182">
        <f ca="1">SOR!C37/'Aggregate As% of GSDP'!D37*100</f>
        <v>77.899516686788857</v>
      </c>
      <c r="J37" s="182">
        <f ca="1">SOR!D37/'Aggregate As% of GSDP'!E37*100</f>
        <v>77.68145405580286</v>
      </c>
      <c r="K37" s="182">
        <f ca="1">SOR!E37/'Aggregate As% of GSDP'!F37*100</f>
        <v>78.157056892618414</v>
      </c>
      <c r="L37" s="182">
        <f ca="1">SOR!F37/'Aggregate As% of GSDP'!G37*100</f>
        <v>76.914963220749627</v>
      </c>
      <c r="M37" s="182">
        <f ca="1">SOR!G37/'Aggregate As% of GSDP'!H37*100</f>
        <v>77.301468806946744</v>
      </c>
      <c r="N37" s="271">
        <f t="shared" ref="N37:N42" si="5">+AVERAGE(I37:M37)</f>
        <v>77.590891932581286</v>
      </c>
    </row>
    <row r="38" spans="1:14" ht="15.75">
      <c r="A38" s="193" t="s">
        <v>271</v>
      </c>
      <c r="B38" s="194" t="s">
        <v>273</v>
      </c>
      <c r="C38" s="202"/>
      <c r="D38" s="202"/>
      <c r="E38" s="202"/>
      <c r="F38" s="202"/>
      <c r="G38" s="202"/>
      <c r="H38" s="266"/>
      <c r="I38" s="182"/>
      <c r="J38" s="182"/>
      <c r="K38" s="182"/>
      <c r="L38" s="182"/>
      <c r="M38" s="182"/>
      <c r="N38" s="271"/>
    </row>
    <row r="39" spans="1:14" ht="15" customHeight="1">
      <c r="A39" s="195">
        <v>1</v>
      </c>
      <c r="B39" s="196" t="s">
        <v>145</v>
      </c>
      <c r="C39" s="201">
        <f ca="1">SOR!C39/'Aggregate As% of GSDP'!I39*100</f>
        <v>5.0821649667293451</v>
      </c>
      <c r="D39" s="201">
        <f ca="1">SOR!D39/'Aggregate As% of GSDP'!J39*100</f>
        <v>4.6569279756031934</v>
      </c>
      <c r="E39" s="201">
        <f ca="1">SOR!E39/'Aggregate As% of GSDP'!K39*100</f>
        <v>4.2795661850473055</v>
      </c>
      <c r="F39" s="201">
        <f ca="1">SOR!F39/'Aggregate As% of GSDP'!L39*100</f>
        <v>3.9015675095275544</v>
      </c>
      <c r="G39" s="201">
        <f ca="1">SOR!G39/'Aggregate As% of GSDP'!M39*100</f>
        <v>4.4197633897570823</v>
      </c>
      <c r="H39" s="266">
        <f t="shared" si="4"/>
        <v>4.4679980053328965</v>
      </c>
      <c r="I39" s="173">
        <f ca="1">SOR!C39/'Aggregate As% of GSDP'!D39*100</f>
        <v>91.765578703708201</v>
      </c>
      <c r="J39" s="173">
        <f ca="1">SOR!D39/'Aggregate As% of GSDP'!E39*100</f>
        <v>91.755301849771982</v>
      </c>
      <c r="K39" s="173">
        <f ca="1">SOR!E39/'Aggregate As% of GSDP'!F39*100</f>
        <v>86.674413970599318</v>
      </c>
      <c r="L39" s="173">
        <f ca="1">SOR!F39/'Aggregate As% of GSDP'!G39*100</f>
        <v>90.521842105263147</v>
      </c>
      <c r="M39" s="173">
        <f ca="1">SOR!G39/'Aggregate As% of GSDP'!H39*100</f>
        <v>91.687966695301654</v>
      </c>
      <c r="N39" s="271">
        <f t="shared" si="5"/>
        <v>90.481020664928863</v>
      </c>
    </row>
    <row r="40" spans="1:14" ht="15.75" customHeight="1">
      <c r="A40" s="195">
        <v>2</v>
      </c>
      <c r="B40" s="196" t="s">
        <v>47</v>
      </c>
      <c r="C40" s="201">
        <f ca="1">SOR!C40/'Aggregate As% of GSDP'!I40*100</f>
        <v>8.9637368933088322</v>
      </c>
      <c r="D40" s="201">
        <f ca="1">SOR!D40/'Aggregate As% of GSDP'!J40*100</f>
        <v>8.9935164179104472</v>
      </c>
      <c r="E40" s="201">
        <f ca="1">SOR!E40/'Aggregate As% of GSDP'!K40*100</f>
        <v>10.857880818053594</v>
      </c>
      <c r="F40" s="201">
        <f ca="1">SOR!F40/'Aggregate As% of GSDP'!L40*100</f>
        <v>10.6897671900379</v>
      </c>
      <c r="G40" s="201">
        <f ca="1">SOR!G40/'Aggregate As% of GSDP'!M40*100</f>
        <v>10.239215972019819</v>
      </c>
      <c r="H40" s="266">
        <f t="shared" si="4"/>
        <v>9.9488234582661192</v>
      </c>
      <c r="I40" s="173">
        <f ca="1">SOR!C40/'Aggregate As% of GSDP'!D40*100</f>
        <v>76.305879691951588</v>
      </c>
      <c r="J40" s="173">
        <f ca="1">SOR!D40/'Aggregate As% of GSDP'!E40*100</f>
        <v>85.207753245225305</v>
      </c>
      <c r="K40" s="173">
        <f ca="1">SOR!E40/'Aggregate As% of GSDP'!F40*100</f>
        <v>84.950287186674089</v>
      </c>
      <c r="L40" s="173">
        <f ca="1">SOR!F40/'Aggregate As% of GSDP'!G40*100</f>
        <v>88.453119999999998</v>
      </c>
      <c r="M40" s="173">
        <f ca="1">SOR!G40/'Aggregate As% of GSDP'!H40*100</f>
        <v>78.724369747899161</v>
      </c>
      <c r="N40" s="271">
        <f t="shared" si="5"/>
        <v>82.72828197435004</v>
      </c>
    </row>
    <row r="41" spans="1:14" ht="15.75">
      <c r="A41" s="197"/>
      <c r="B41" s="198" t="s">
        <v>146</v>
      </c>
      <c r="C41" s="202">
        <f ca="1">SOR!C41/'Aggregate As% of GSDP'!I41*100</f>
        <v>5.2969308245313931</v>
      </c>
      <c r="D41" s="202">
        <f ca="1">SOR!D41/'Aggregate As% of GSDP'!J41*100</f>
        <v>4.875296843919573</v>
      </c>
      <c r="E41" s="202">
        <f ca="1">SOR!E41/'Aggregate As% of GSDP'!K41*100</f>
        <v>4.5969777076430329</v>
      </c>
      <c r="F41" s="202">
        <f ca="1">SOR!F41/'Aggregate As% of GSDP'!L41*100</f>
        <v>4.2179219608903304</v>
      </c>
      <c r="G41" s="202">
        <f ca="1">SOR!G41/'Aggregate As% of GSDP'!M41*100</f>
        <v>4.6635119545379631</v>
      </c>
      <c r="H41" s="266">
        <f t="shared" si="4"/>
        <v>4.7301278583044581</v>
      </c>
      <c r="I41" s="182">
        <f ca="1">SOR!C41/'Aggregate As% of GSDP'!D41*100</f>
        <v>90.057201065950522</v>
      </c>
      <c r="J41" s="182">
        <f ca="1">SOR!D41/'Aggregate As% of GSDP'!E41*100</f>
        <v>91.105003236012578</v>
      </c>
      <c r="K41" s="182">
        <f ca="1">SOR!E41/'Aggregate As% of GSDP'!F41*100</f>
        <v>86.474394351609021</v>
      </c>
      <c r="L41" s="182">
        <f ca="1">SOR!F41/'Aggregate As% of GSDP'!G41*100</f>
        <v>90.272478302796515</v>
      </c>
      <c r="M41" s="182">
        <f ca="1">SOR!G41/'Aggregate As% of GSDP'!H41*100</f>
        <v>90.320191511999042</v>
      </c>
      <c r="N41" s="271">
        <f t="shared" si="5"/>
        <v>89.645853693673544</v>
      </c>
    </row>
    <row r="42" spans="1:14" s="148" customFormat="1" ht="30">
      <c r="A42" s="199"/>
      <c r="B42" s="208" t="s">
        <v>147</v>
      </c>
      <c r="C42" s="202">
        <f ca="1">SOR!C42/'Aggregate As% of GSDP'!I42*100</f>
        <v>4.2141276194221318</v>
      </c>
      <c r="D42" s="202">
        <f ca="1">SOR!D42/'Aggregate As% of GSDP'!J42*100</f>
        <v>4.4773153483903938</v>
      </c>
      <c r="E42" s="202">
        <f ca="1">SOR!E42/'Aggregate As% of GSDP'!K42*100</f>
        <v>4.3700323812126758</v>
      </c>
      <c r="F42" s="202">
        <f ca="1">SOR!F42/'Aggregate As% of GSDP'!L42*100</f>
        <v>4.1790830757942645</v>
      </c>
      <c r="G42" s="202">
        <f ca="1">SOR!G42/'Aggregate As% of GSDP'!M42*100</f>
        <v>4.6756870124470984</v>
      </c>
      <c r="H42" s="266">
        <f t="shared" si="4"/>
        <v>4.3832490874533132</v>
      </c>
      <c r="I42" s="182">
        <f ca="1">SOR!C42/'Aggregate As% of GSDP'!D42*100</f>
        <v>78.411899526702271</v>
      </c>
      <c r="J42" s="182">
        <f ca="1">SOR!D42/'Aggregate As% of GSDP'!E42*100</f>
        <v>78.180761728572151</v>
      </c>
      <c r="K42" s="182">
        <f ca="1">SOR!E42/'Aggregate As% of GSDP'!F42*100</f>
        <v>78.477729430834003</v>
      </c>
      <c r="L42" s="182">
        <f ca="1">SOR!F42/'Aggregate As% of GSDP'!G42*100</f>
        <v>77.384283759479061</v>
      </c>
      <c r="M42" s="182">
        <f ca="1">SOR!G42/'Aggregate As% of GSDP'!H42*100</f>
        <v>77.766678685117952</v>
      </c>
      <c r="N42" s="271">
        <f t="shared" si="5"/>
        <v>78.044270626141085</v>
      </c>
    </row>
    <row r="43" spans="1:14">
      <c r="B43" s="545" t="s">
        <v>181</v>
      </c>
      <c r="C43" s="545"/>
      <c r="D43" s="545"/>
      <c r="E43" s="545"/>
      <c r="F43" s="545"/>
      <c r="G43" s="545"/>
      <c r="H43" s="545"/>
      <c r="I43" s="545"/>
      <c r="J43" s="545"/>
      <c r="K43" s="545"/>
    </row>
    <row r="44" spans="1:14">
      <c r="C44" s="203" t="s">
        <v>55</v>
      </c>
      <c r="D44" s="203" t="s">
        <v>56</v>
      </c>
      <c r="E44" s="203" t="s">
        <v>7</v>
      </c>
      <c r="F44" s="203" t="s">
        <v>8</v>
      </c>
      <c r="G44" s="204" t="s">
        <v>9</v>
      </c>
    </row>
    <row r="45" spans="1:14" ht="27">
      <c r="B45" s="148" t="s">
        <v>148</v>
      </c>
      <c r="C45" s="185">
        <v>1.0575626543951435</v>
      </c>
      <c r="D45" s="185">
        <v>1.1491966754819751</v>
      </c>
      <c r="E45" s="185">
        <v>1.2177408980745625</v>
      </c>
      <c r="F45" s="185">
        <v>1.321012313637526</v>
      </c>
      <c r="G45" s="185">
        <v>1.426611476076826</v>
      </c>
      <c r="H45" s="148"/>
    </row>
    <row r="47" spans="1:14">
      <c r="I47" s="147" t="s">
        <v>151</v>
      </c>
      <c r="J47" s="146"/>
    </row>
    <row r="49" spans="9:13">
      <c r="I49" s="147">
        <v>15700.514983529196</v>
      </c>
      <c r="J49" s="147">
        <v>12776.009690113135</v>
      </c>
      <c r="K49" s="147">
        <v>10354.838883673092</v>
      </c>
      <c r="L49" s="147">
        <v>11424.59126457664</v>
      </c>
      <c r="M49" s="147">
        <v>11078.10912224198</v>
      </c>
    </row>
    <row r="50" spans="9:13">
      <c r="I50" s="147">
        <v>869.18718082286432</v>
      </c>
      <c r="J50" s="147">
        <v>803.05242184141832</v>
      </c>
      <c r="K50" s="147">
        <v>1106.8895572140616</v>
      </c>
      <c r="L50" s="147">
        <v>984.89080423971768</v>
      </c>
      <c r="M50" s="147">
        <v>876.12699927861559</v>
      </c>
    </row>
  </sheetData>
  <mergeCells count="6">
    <mergeCell ref="B43:K43"/>
    <mergeCell ref="A1:L1"/>
    <mergeCell ref="B2:B3"/>
    <mergeCell ref="A2:A3"/>
    <mergeCell ref="C2:H2"/>
    <mergeCell ref="I2:N2"/>
  </mergeCells>
  <phoneticPr fontId="63" type="noConversion"/>
  <printOptions horizontalCentered="1"/>
  <pageMargins left="0.23622047244094491" right="0.27559055118110237" top="0.78740157480314965" bottom="0.39370078740157483" header="0" footer="0"/>
  <pageSetup paperSize="9" scale="68" orientation="landscape" horizont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46"/>
  <sheetViews>
    <sheetView workbookViewId="0">
      <pane xSplit="2" ySplit="4" topLeftCell="D20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5.28515625" style="150" customWidth="1"/>
    <col min="2" max="2" width="33.85546875" style="147" customWidth="1"/>
    <col min="3" max="13" width="12" style="147" customWidth="1"/>
    <col min="14" max="14" width="11.42578125" style="147" customWidth="1"/>
    <col min="15" max="16384" width="9.140625" style="147"/>
  </cols>
  <sheetData>
    <row r="1" spans="1:14" ht="30.75" customHeight="1">
      <c r="A1" s="550" t="s">
        <v>187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147" t="s">
        <v>128</v>
      </c>
    </row>
    <row r="2" spans="1:14" s="274" customFormat="1" ht="24" customHeight="1">
      <c r="A2" s="542" t="s">
        <v>99</v>
      </c>
      <c r="B2" s="554" t="s">
        <v>129</v>
      </c>
      <c r="C2" s="546" t="s">
        <v>152</v>
      </c>
      <c r="D2" s="546"/>
      <c r="E2" s="546"/>
      <c r="F2" s="546"/>
      <c r="G2" s="546"/>
      <c r="H2" s="546"/>
      <c r="I2" s="551" t="s">
        <v>153</v>
      </c>
      <c r="J2" s="552"/>
      <c r="K2" s="552"/>
      <c r="L2" s="552"/>
      <c r="M2" s="552"/>
      <c r="N2" s="553"/>
    </row>
    <row r="3" spans="1:14" s="274" customFormat="1">
      <c r="A3" s="542"/>
      <c r="B3" s="554"/>
      <c r="C3" s="172" t="s">
        <v>55</v>
      </c>
      <c r="D3" s="172" t="s">
        <v>56</v>
      </c>
      <c r="E3" s="172" t="s">
        <v>7</v>
      </c>
      <c r="F3" s="172" t="s">
        <v>8</v>
      </c>
      <c r="G3" s="172" t="s">
        <v>9</v>
      </c>
      <c r="H3" s="245" t="s">
        <v>130</v>
      </c>
      <c r="I3" s="172" t="s">
        <v>55</v>
      </c>
      <c r="J3" s="172" t="s">
        <v>56</v>
      </c>
      <c r="K3" s="172" t="s">
        <v>7</v>
      </c>
      <c r="L3" s="172" t="s">
        <v>8</v>
      </c>
      <c r="M3" s="172" t="s">
        <v>9</v>
      </c>
      <c r="N3" s="248" t="s">
        <v>130</v>
      </c>
    </row>
    <row r="4" spans="1:14" s="274" customFormat="1" ht="24">
      <c r="A4" s="542"/>
      <c r="B4" s="554"/>
      <c r="C4" s="172" t="s">
        <v>10</v>
      </c>
      <c r="D4" s="172" t="s">
        <v>10</v>
      </c>
      <c r="E4" s="172" t="s">
        <v>10</v>
      </c>
      <c r="F4" s="172" t="s">
        <v>133</v>
      </c>
      <c r="G4" s="172" t="s">
        <v>134</v>
      </c>
      <c r="H4" s="245" t="s">
        <v>174</v>
      </c>
      <c r="I4" s="172" t="s">
        <v>10</v>
      </c>
      <c r="J4" s="172" t="s">
        <v>10</v>
      </c>
      <c r="K4" s="172" t="s">
        <v>10</v>
      </c>
      <c r="L4" s="172" t="s">
        <v>133</v>
      </c>
      <c r="M4" s="172" t="s">
        <v>134</v>
      </c>
      <c r="N4" s="248" t="s">
        <v>174</v>
      </c>
    </row>
    <row r="5" spans="1:14" ht="15.75">
      <c r="A5" s="193" t="s">
        <v>137</v>
      </c>
      <c r="B5" s="194" t="s">
        <v>141</v>
      </c>
      <c r="C5" s="214"/>
      <c r="D5" s="214"/>
      <c r="E5" s="214"/>
      <c r="F5" s="214"/>
      <c r="G5" s="214"/>
      <c r="H5" s="246"/>
      <c r="I5" s="214"/>
      <c r="J5" s="214"/>
      <c r="K5" s="214"/>
      <c r="L5" s="214"/>
      <c r="M5" s="214"/>
      <c r="N5" s="249"/>
    </row>
    <row r="6" spans="1:14" ht="15.75">
      <c r="A6" s="195">
        <v>1</v>
      </c>
      <c r="B6" s="196" t="s">
        <v>14</v>
      </c>
      <c r="C6" s="214">
        <v>369.27</v>
      </c>
      <c r="D6" s="214">
        <v>247.59000000000003</v>
      </c>
      <c r="E6" s="214">
        <v>367.46</v>
      </c>
      <c r="F6" s="214">
        <v>158.13</v>
      </c>
      <c r="G6" s="214">
        <v>271</v>
      </c>
      <c r="H6" s="247">
        <f t="shared" ref="H6:H17" si="0">+SUM(C6:G6)</f>
        <v>1413.4499999999998</v>
      </c>
      <c r="I6" s="214">
        <f t="shared" ref="I6:I16" si="1">+C6/C$45</f>
        <v>349.17080181050665</v>
      </c>
      <c r="J6" s="214">
        <f t="shared" ref="J6:J16" si="2">+D6/D$45</f>
        <v>215.44615058702666</v>
      </c>
      <c r="K6" s="214">
        <f t="shared" ref="K6:K16" si="3">+E6/E$45</f>
        <v>301.75548885728591</v>
      </c>
      <c r="L6" s="214">
        <f t="shared" ref="L6:L16" si="4">+F6/F$45</f>
        <v>119.70365330250014</v>
      </c>
      <c r="M6" s="214">
        <f t="shared" ref="M6:M16" si="5">+G6/G$45</f>
        <v>189.96061965325595</v>
      </c>
      <c r="N6" s="250">
        <f t="shared" ref="N6:N17" si="6">+SUM(I6:M6)</f>
        <v>1176.0367142105754</v>
      </c>
    </row>
    <row r="7" spans="1:14" ht="15.75">
      <c r="A7" s="195">
        <v>2</v>
      </c>
      <c r="B7" s="196" t="s">
        <v>15</v>
      </c>
      <c r="C7" s="214">
        <v>236.41000000000008</v>
      </c>
      <c r="D7" s="214">
        <v>1850.1000000000001</v>
      </c>
      <c r="E7" s="214">
        <v>3256.2</v>
      </c>
      <c r="F7" s="214">
        <v>4106.2300000000014</v>
      </c>
      <c r="G7" s="214">
        <v>3530.99</v>
      </c>
      <c r="H7" s="247">
        <f t="shared" si="0"/>
        <v>12979.930000000002</v>
      </c>
      <c r="I7" s="214">
        <f t="shared" si="1"/>
        <v>223.5423111978279</v>
      </c>
      <c r="J7" s="214">
        <f t="shared" si="2"/>
        <v>1609.9071981948302</v>
      </c>
      <c r="K7" s="214">
        <f t="shared" si="3"/>
        <v>2673.9678408999466</v>
      </c>
      <c r="L7" s="214">
        <f t="shared" si="4"/>
        <v>3108.3964605092351</v>
      </c>
      <c r="M7" s="214">
        <f t="shared" si="5"/>
        <v>2475.0887394444658</v>
      </c>
      <c r="N7" s="250">
        <f t="shared" si="6"/>
        <v>10090.902550246306</v>
      </c>
    </row>
    <row r="8" spans="1:14" ht="15.75">
      <c r="A8" s="195">
        <v>3</v>
      </c>
      <c r="B8" s="196" t="s">
        <v>16</v>
      </c>
      <c r="C8" s="214">
        <v>1413.1900000000003</v>
      </c>
      <c r="D8" s="214">
        <v>1886.12</v>
      </c>
      <c r="E8" s="214">
        <v>1950.7699999999998</v>
      </c>
      <c r="F8" s="214">
        <v>1611.23</v>
      </c>
      <c r="G8" s="214">
        <v>1832</v>
      </c>
      <c r="H8" s="247">
        <f t="shared" si="0"/>
        <v>8693.31</v>
      </c>
      <c r="I8" s="214">
        <f t="shared" si="1"/>
        <v>1336.2707108906491</v>
      </c>
      <c r="J8" s="214">
        <f t="shared" si="2"/>
        <v>1641.25083220325</v>
      </c>
      <c r="K8" s="214">
        <f t="shared" si="3"/>
        <v>1601.9581859199031</v>
      </c>
      <c r="L8" s="214">
        <f t="shared" si="4"/>
        <v>1219.693399801349</v>
      </c>
      <c r="M8" s="214">
        <f t="shared" si="5"/>
        <v>1284.1618273238557</v>
      </c>
      <c r="N8" s="250">
        <f t="shared" si="6"/>
        <v>7083.3349561390069</v>
      </c>
    </row>
    <row r="9" spans="1:14" ht="15.75">
      <c r="A9" s="195">
        <v>4</v>
      </c>
      <c r="B9" s="196" t="s">
        <v>142</v>
      </c>
      <c r="C9" s="214">
        <v>2580.3100000000004</v>
      </c>
      <c r="D9" s="214">
        <v>3064.66</v>
      </c>
      <c r="E9" s="214">
        <v>2139.8500000000004</v>
      </c>
      <c r="F9" s="214">
        <v>3560</v>
      </c>
      <c r="G9" s="214">
        <v>3979</v>
      </c>
      <c r="H9" s="247">
        <f t="shared" si="0"/>
        <v>15323.82</v>
      </c>
      <c r="I9" s="214">
        <f t="shared" si="1"/>
        <v>2439.8648999909783</v>
      </c>
      <c r="J9" s="214">
        <f t="shared" si="2"/>
        <v>2666.7846030051173</v>
      </c>
      <c r="K9" s="214">
        <f t="shared" si="3"/>
        <v>1757.2293115747657</v>
      </c>
      <c r="L9" s="214">
        <f t="shared" si="4"/>
        <v>2694.9029643767817</v>
      </c>
      <c r="M9" s="214">
        <f t="shared" si="5"/>
        <v>2789.1265889310162</v>
      </c>
      <c r="N9" s="250">
        <f t="shared" si="6"/>
        <v>12347.908367878659</v>
      </c>
    </row>
    <row r="10" spans="1:14" ht="15.75">
      <c r="A10" s="195">
        <v>5</v>
      </c>
      <c r="B10" s="196" t="s">
        <v>18</v>
      </c>
      <c r="C10" s="214">
        <v>252.25</v>
      </c>
      <c r="D10" s="214">
        <v>257.56000000000006</v>
      </c>
      <c r="E10" s="214">
        <v>426.48</v>
      </c>
      <c r="F10" s="214">
        <v>225.23999999999995</v>
      </c>
      <c r="G10" s="214">
        <v>373</v>
      </c>
      <c r="H10" s="247">
        <f t="shared" si="0"/>
        <v>1534.53</v>
      </c>
      <c r="I10" s="214">
        <f t="shared" si="1"/>
        <v>238.52014720042328</v>
      </c>
      <c r="J10" s="214">
        <f t="shared" si="2"/>
        <v>224.12177610240556</v>
      </c>
      <c r="K10" s="214">
        <f t="shared" si="3"/>
        <v>350.22228511363227</v>
      </c>
      <c r="L10" s="214">
        <f t="shared" si="4"/>
        <v>170.5056021618613</v>
      </c>
      <c r="M10" s="214">
        <f t="shared" si="5"/>
        <v>261.45871265927849</v>
      </c>
      <c r="N10" s="250">
        <f t="shared" si="6"/>
        <v>1244.8285232376008</v>
      </c>
    </row>
    <row r="11" spans="1:14" ht="15.75">
      <c r="A11" s="195">
        <v>6</v>
      </c>
      <c r="B11" s="196" t="s">
        <v>19</v>
      </c>
      <c r="C11" s="214">
        <v>189.3</v>
      </c>
      <c r="D11" s="214">
        <v>201.25999999999996</v>
      </c>
      <c r="E11" s="214">
        <v>325.55</v>
      </c>
      <c r="F11" s="214">
        <v>295.49</v>
      </c>
      <c r="G11" s="214">
        <v>466.00000000000006</v>
      </c>
      <c r="H11" s="247">
        <f t="shared" si="0"/>
        <v>1477.6</v>
      </c>
      <c r="I11" s="214">
        <f t="shared" si="1"/>
        <v>178.99648707647228</v>
      </c>
      <c r="J11" s="214">
        <f t="shared" si="2"/>
        <v>175.13103221917271</v>
      </c>
      <c r="K11" s="214">
        <f t="shared" si="3"/>
        <v>267.33930059731517</v>
      </c>
      <c r="L11" s="214">
        <f t="shared" si="4"/>
        <v>223.68451599542001</v>
      </c>
      <c r="M11" s="214">
        <f t="shared" si="5"/>
        <v>326.6481504000638</v>
      </c>
      <c r="N11" s="250">
        <f t="shared" si="6"/>
        <v>1171.7994862884441</v>
      </c>
    </row>
    <row r="12" spans="1:14" ht="15.75">
      <c r="A12" s="195">
        <v>7</v>
      </c>
      <c r="B12" s="196" t="s">
        <v>20</v>
      </c>
      <c r="C12" s="214">
        <v>269.97000000000003</v>
      </c>
      <c r="D12" s="214">
        <v>255.92000000000002</v>
      </c>
      <c r="E12" s="214">
        <v>201.46000000000004</v>
      </c>
      <c r="F12" s="214">
        <v>485.98</v>
      </c>
      <c r="G12" s="214">
        <v>435</v>
      </c>
      <c r="H12" s="247">
        <f t="shared" si="0"/>
        <v>1648.3300000000002</v>
      </c>
      <c r="I12" s="214">
        <f t="shared" si="1"/>
        <v>255.27565565787225</v>
      </c>
      <c r="J12" s="214">
        <f t="shared" si="2"/>
        <v>222.69469226637531</v>
      </c>
      <c r="K12" s="214">
        <f t="shared" si="3"/>
        <v>165.43749193160843</v>
      </c>
      <c r="L12" s="214">
        <f t="shared" si="4"/>
        <v>367.88453444601925</v>
      </c>
      <c r="M12" s="214">
        <f t="shared" si="5"/>
        <v>304.91833781980199</v>
      </c>
      <c r="N12" s="250">
        <f t="shared" si="6"/>
        <v>1316.2107121216773</v>
      </c>
    </row>
    <row r="13" spans="1:14" ht="15.75">
      <c r="A13" s="195">
        <v>8</v>
      </c>
      <c r="B13" s="196" t="s">
        <v>21</v>
      </c>
      <c r="C13" s="214">
        <v>358.55999999999995</v>
      </c>
      <c r="D13" s="214">
        <v>492.57</v>
      </c>
      <c r="E13" s="214">
        <v>514.63999999999987</v>
      </c>
      <c r="F13" s="214">
        <v>238.97000000000003</v>
      </c>
      <c r="G13" s="214">
        <v>425.00000000000011</v>
      </c>
      <c r="H13" s="247">
        <f t="shared" si="0"/>
        <v>2029.7399999999998</v>
      </c>
      <c r="I13" s="214">
        <f t="shared" si="1"/>
        <v>339.04374224056988</v>
      </c>
      <c r="J13" s="214">
        <f t="shared" si="2"/>
        <v>428.62114945939544</v>
      </c>
      <c r="K13" s="214">
        <f t="shared" si="3"/>
        <v>422.61863817970277</v>
      </c>
      <c r="L13" s="214">
        <f t="shared" si="4"/>
        <v>180.89914645986508</v>
      </c>
      <c r="M13" s="214">
        <f t="shared" si="5"/>
        <v>297.90872085842733</v>
      </c>
      <c r="N13" s="250">
        <f t="shared" si="6"/>
        <v>1669.0913971979605</v>
      </c>
    </row>
    <row r="14" spans="1:14" ht="15.75">
      <c r="A14" s="195">
        <v>9</v>
      </c>
      <c r="B14" s="196" t="s">
        <v>22</v>
      </c>
      <c r="C14" s="214">
        <v>237.70999999999998</v>
      </c>
      <c r="D14" s="214">
        <v>288.17</v>
      </c>
      <c r="E14" s="214">
        <v>389.32</v>
      </c>
      <c r="F14" s="214">
        <v>117.04</v>
      </c>
      <c r="G14" s="214">
        <v>147.44999999999999</v>
      </c>
      <c r="H14" s="247">
        <f t="shared" si="0"/>
        <v>1179.69</v>
      </c>
      <c r="I14" s="214">
        <f t="shared" si="1"/>
        <v>224.77155278894989</v>
      </c>
      <c r="J14" s="214">
        <f t="shared" si="2"/>
        <v>250.75777379806726</v>
      </c>
      <c r="K14" s="214">
        <f t="shared" si="3"/>
        <v>319.70676242834202</v>
      </c>
      <c r="L14" s="214">
        <f t="shared" si="4"/>
        <v>88.598719929960268</v>
      </c>
      <c r="M14" s="214">
        <f t="shared" si="5"/>
        <v>103.3568020954708</v>
      </c>
      <c r="N14" s="250">
        <f t="shared" si="6"/>
        <v>987.19161104079024</v>
      </c>
    </row>
    <row r="15" spans="1:14" ht="15.75">
      <c r="A15" s="195">
        <v>10</v>
      </c>
      <c r="B15" s="196" t="s">
        <v>23</v>
      </c>
      <c r="C15" s="214">
        <v>0.85</v>
      </c>
      <c r="D15" s="214">
        <v>65.510000000000005</v>
      </c>
      <c r="E15" s="214">
        <v>619.01</v>
      </c>
      <c r="F15" s="214">
        <v>553.66</v>
      </c>
      <c r="G15" s="214">
        <v>508</v>
      </c>
      <c r="H15" s="247">
        <f t="shared" si="0"/>
        <v>1747.03</v>
      </c>
      <c r="I15" s="214">
        <f t="shared" si="1"/>
        <v>0.80373488650291292</v>
      </c>
      <c r="J15" s="214">
        <f t="shared" si="2"/>
        <v>57.00503786484154</v>
      </c>
      <c r="K15" s="214">
        <f t="shared" si="3"/>
        <v>508.32652576484122</v>
      </c>
      <c r="L15" s="214">
        <f t="shared" si="4"/>
        <v>419.11797057776658</v>
      </c>
      <c r="M15" s="214">
        <f t="shared" si="5"/>
        <v>356.08854163783769</v>
      </c>
      <c r="N15" s="250">
        <f t="shared" si="6"/>
        <v>1341.3418107317898</v>
      </c>
    </row>
    <row r="16" spans="1:14" ht="15.75">
      <c r="A16" s="195">
        <v>11</v>
      </c>
      <c r="B16" s="196" t="s">
        <v>24</v>
      </c>
      <c r="C16" s="214">
        <v>1103.1099999999997</v>
      </c>
      <c r="D16" s="214">
        <v>1424.58</v>
      </c>
      <c r="E16" s="214">
        <v>1721.75</v>
      </c>
      <c r="F16" s="214">
        <v>1733.9999999999998</v>
      </c>
      <c r="G16" s="214">
        <v>1803.0009399999999</v>
      </c>
      <c r="H16" s="247">
        <f t="shared" si="0"/>
        <v>7786.4409399999995</v>
      </c>
      <c r="I16" s="214">
        <f t="shared" si="1"/>
        <v>1043.0682242943858</v>
      </c>
      <c r="J16" s="214">
        <f t="shared" si="2"/>
        <v>1239.6311531292313</v>
      </c>
      <c r="K16" s="214">
        <f t="shared" si="3"/>
        <v>1413.8886217276222</v>
      </c>
      <c r="L16" s="214">
        <f t="shared" si="4"/>
        <v>1312.6297023116122</v>
      </c>
      <c r="M16" s="214">
        <f t="shared" si="5"/>
        <v>1263.8345970398632</v>
      </c>
      <c r="N16" s="250">
        <f t="shared" si="6"/>
        <v>6273.0522985027146</v>
      </c>
    </row>
    <row r="17" spans="1:14" ht="15.75">
      <c r="A17" s="193"/>
      <c r="B17" s="194" t="s">
        <v>143</v>
      </c>
      <c r="C17" s="216">
        <f>SUM(C6:C16)</f>
        <v>7010.93</v>
      </c>
      <c r="D17" s="216">
        <f t="shared" ref="D17:M17" si="7">SUM(D6:D16)</f>
        <v>10034.040000000001</v>
      </c>
      <c r="E17" s="216">
        <f t="shared" si="7"/>
        <v>11912.49</v>
      </c>
      <c r="F17" s="216">
        <f t="shared" si="7"/>
        <v>13085.970000000001</v>
      </c>
      <c r="G17" s="216">
        <f t="shared" si="7"/>
        <v>13770.44094</v>
      </c>
      <c r="H17" s="247">
        <f t="shared" si="0"/>
        <v>55813.870940000001</v>
      </c>
      <c r="I17" s="216">
        <f t="shared" si="7"/>
        <v>6629.3282680351385</v>
      </c>
      <c r="J17" s="216">
        <f t="shared" si="7"/>
        <v>8731.3513988297127</v>
      </c>
      <c r="K17" s="216">
        <f t="shared" si="7"/>
        <v>9782.4504529949627</v>
      </c>
      <c r="L17" s="216">
        <f t="shared" si="7"/>
        <v>9906.0166698723697</v>
      </c>
      <c r="M17" s="216">
        <f t="shared" si="7"/>
        <v>9652.5516378633365</v>
      </c>
      <c r="N17" s="250">
        <f t="shared" si="6"/>
        <v>44701.698427595518</v>
      </c>
    </row>
    <row r="18" spans="1:14" ht="15.75">
      <c r="A18" s="193" t="s">
        <v>140</v>
      </c>
      <c r="B18" s="194" t="s">
        <v>275</v>
      </c>
      <c r="C18" s="172"/>
      <c r="D18" s="172"/>
      <c r="E18" s="172"/>
      <c r="F18" s="172"/>
      <c r="G18" s="172"/>
      <c r="H18" s="245"/>
      <c r="I18" s="172"/>
      <c r="J18" s="172"/>
      <c r="K18" s="172"/>
      <c r="L18" s="172"/>
      <c r="M18" s="172"/>
      <c r="N18" s="248"/>
    </row>
    <row r="19" spans="1:14" ht="15.75">
      <c r="A19" s="195">
        <v>1</v>
      </c>
      <c r="B19" s="196" t="s">
        <v>27</v>
      </c>
      <c r="C19" s="214">
        <v>6987.28</v>
      </c>
      <c r="D19" s="214">
        <v>11028.79</v>
      </c>
      <c r="E19" s="214">
        <v>14394.47</v>
      </c>
      <c r="F19" s="214">
        <v>12403.96</v>
      </c>
      <c r="G19" s="214">
        <v>17924</v>
      </c>
      <c r="H19" s="247">
        <f>+SUM(C19:G19)</f>
        <v>62738.5</v>
      </c>
      <c r="I19" s="214">
        <f t="shared" ref="I19:I35" si="8">+C19/C$45</f>
        <v>6606.9655267812623</v>
      </c>
      <c r="J19" s="214">
        <f t="shared" ref="J19:J35" si="9">+D19/D$45</f>
        <v>9596.9560609584132</v>
      </c>
      <c r="K19" s="214">
        <f t="shared" ref="K19:K35" si="10">+E19/E$45</f>
        <v>11820.634441004562</v>
      </c>
      <c r="L19" s="214">
        <f t="shared" ref="L19:L35" si="11">+F19/F$45</f>
        <v>9389.7383634862435</v>
      </c>
      <c r="M19" s="214">
        <f t="shared" ref="M19:M35" si="12">+G19/G$45</f>
        <v>12564.037441568116</v>
      </c>
      <c r="N19" s="250">
        <f>+SUM(I19:M19)</f>
        <v>49978.331833798591</v>
      </c>
    </row>
    <row r="20" spans="1:14" ht="15.75">
      <c r="A20" s="195">
        <v>2</v>
      </c>
      <c r="B20" s="196" t="s">
        <v>28</v>
      </c>
      <c r="C20" s="214">
        <v>1854.11</v>
      </c>
      <c r="D20" s="214">
        <v>4520.78</v>
      </c>
      <c r="E20" s="214">
        <v>3940.84</v>
      </c>
      <c r="F20" s="214">
        <v>4160.91</v>
      </c>
      <c r="G20" s="214">
        <v>4836.2300000000005</v>
      </c>
      <c r="H20" s="247">
        <f t="shared" ref="H20:H42" si="13">+SUM(C20:G20)</f>
        <v>19312.87</v>
      </c>
      <c r="I20" s="214">
        <f t="shared" si="8"/>
        <v>1753.1916357810774</v>
      </c>
      <c r="J20" s="214">
        <f t="shared" si="9"/>
        <v>3933.861014785808</v>
      </c>
      <c r="K20" s="214">
        <f t="shared" si="10"/>
        <v>3236.1892470155844</v>
      </c>
      <c r="L20" s="214">
        <f t="shared" si="11"/>
        <v>3149.7889588497178</v>
      </c>
      <c r="M20" s="214">
        <f t="shared" si="12"/>
        <v>3390.0119837109451</v>
      </c>
      <c r="N20" s="250">
        <f t="shared" ref="N20:N42" si="14">+SUM(I20:M20)</f>
        <v>15463.042840143133</v>
      </c>
    </row>
    <row r="21" spans="1:14" ht="15.75">
      <c r="A21" s="195">
        <v>3</v>
      </c>
      <c r="B21" s="196" t="s">
        <v>29</v>
      </c>
      <c r="C21" s="214">
        <v>-247.00000000000003</v>
      </c>
      <c r="D21" s="214">
        <v>-64.449999999999989</v>
      </c>
      <c r="E21" s="214">
        <v>898.6</v>
      </c>
      <c r="F21" s="214">
        <v>2623.09</v>
      </c>
      <c r="G21" s="214">
        <v>3178.98</v>
      </c>
      <c r="H21" s="247">
        <f t="shared" si="13"/>
        <v>6389.22</v>
      </c>
      <c r="I21" s="214">
        <f t="shared" si="8"/>
        <v>-233.55590231319943</v>
      </c>
      <c r="J21" s="214">
        <f t="shared" si="9"/>
        <v>-56.082654409846377</v>
      </c>
      <c r="K21" s="214">
        <f t="shared" si="10"/>
        <v>737.92380745430012</v>
      </c>
      <c r="L21" s="214">
        <f t="shared" si="11"/>
        <v>1985.6665777604194</v>
      </c>
      <c r="M21" s="214">
        <f t="shared" si="12"/>
        <v>2228.3432127871129</v>
      </c>
      <c r="N21" s="250">
        <f t="shared" si="14"/>
        <v>4662.2950412787868</v>
      </c>
    </row>
    <row r="22" spans="1:14" ht="15.75">
      <c r="A22" s="195">
        <v>4</v>
      </c>
      <c r="B22" s="196" t="s">
        <v>30</v>
      </c>
      <c r="C22" s="214">
        <v>546.04</v>
      </c>
      <c r="D22" s="214">
        <v>710.15999999999985</v>
      </c>
      <c r="E22" s="214">
        <v>832.90000000000009</v>
      </c>
      <c r="F22" s="214">
        <v>968.82000000000016</v>
      </c>
      <c r="G22" s="214">
        <v>1125.43</v>
      </c>
      <c r="H22" s="247">
        <f t="shared" si="13"/>
        <v>4183.3500000000004</v>
      </c>
      <c r="I22" s="214">
        <f t="shared" si="8"/>
        <v>516.31929108947122</v>
      </c>
      <c r="J22" s="214">
        <f t="shared" si="9"/>
        <v>617.96210792391776</v>
      </c>
      <c r="K22" s="214">
        <f t="shared" si="10"/>
        <v>683.97144361082417</v>
      </c>
      <c r="L22" s="214">
        <f t="shared" si="11"/>
        <v>733.39210391784104</v>
      </c>
      <c r="M22" s="214">
        <f t="shared" si="12"/>
        <v>788.8833216839995</v>
      </c>
      <c r="N22" s="250">
        <f t="shared" si="14"/>
        <v>3340.528268226054</v>
      </c>
    </row>
    <row r="23" spans="1:14" ht="15.75">
      <c r="A23" s="195">
        <v>5</v>
      </c>
      <c r="B23" s="196" t="s">
        <v>31</v>
      </c>
      <c r="C23" s="214">
        <v>7041.4699999999993</v>
      </c>
      <c r="D23" s="214">
        <v>7947.1500000000015</v>
      </c>
      <c r="E23" s="214">
        <v>11678.87</v>
      </c>
      <c r="F23" s="214">
        <v>14497.84</v>
      </c>
      <c r="G23" s="214">
        <v>15489.789999999997</v>
      </c>
      <c r="H23" s="247">
        <f t="shared" si="13"/>
        <v>56655.119999999995</v>
      </c>
      <c r="I23" s="214">
        <f t="shared" si="8"/>
        <v>6658.2059897219597</v>
      </c>
      <c r="J23" s="214">
        <f t="shared" si="9"/>
        <v>6915.3959192119601</v>
      </c>
      <c r="K23" s="214">
        <f t="shared" si="10"/>
        <v>9590.6034021408886</v>
      </c>
      <c r="L23" s="214">
        <f t="shared" si="11"/>
        <v>10974.79550366862</v>
      </c>
      <c r="M23" s="214">
        <f t="shared" si="12"/>
        <v>10857.74947121331</v>
      </c>
      <c r="N23" s="250">
        <f t="shared" si="14"/>
        <v>44996.750285956739</v>
      </c>
    </row>
    <row r="24" spans="1:14" ht="15.75">
      <c r="A24" s="195">
        <v>6</v>
      </c>
      <c r="B24" s="196" t="s">
        <v>32</v>
      </c>
      <c r="C24" s="214">
        <v>564.94000000000005</v>
      </c>
      <c r="D24" s="214">
        <v>3328.7700000000004</v>
      </c>
      <c r="E24" s="214">
        <v>5887.7999999999993</v>
      </c>
      <c r="F24" s="214">
        <v>6669.13</v>
      </c>
      <c r="G24" s="214">
        <v>8161.9999999999991</v>
      </c>
      <c r="H24" s="247">
        <f t="shared" si="13"/>
        <v>24612.639999999999</v>
      </c>
      <c r="I24" s="214">
        <f t="shared" si="8"/>
        <v>534.19057268347728</v>
      </c>
      <c r="J24" s="214">
        <f t="shared" si="9"/>
        <v>2896.6060127209371</v>
      </c>
      <c r="K24" s="214">
        <f t="shared" si="10"/>
        <v>4835.0186885482171</v>
      </c>
      <c r="L24" s="214">
        <f t="shared" si="11"/>
        <v>5048.4994962961036</v>
      </c>
      <c r="M24" s="214">
        <f t="shared" si="12"/>
        <v>5721.2493638740771</v>
      </c>
      <c r="N24" s="250">
        <f t="shared" si="14"/>
        <v>19035.564134122811</v>
      </c>
    </row>
    <row r="25" spans="1:14" ht="15.75">
      <c r="A25" s="195">
        <v>7</v>
      </c>
      <c r="B25" s="196" t="s">
        <v>33</v>
      </c>
      <c r="C25" s="214">
        <v>1330.8199999999997</v>
      </c>
      <c r="D25" s="214">
        <v>1738.8700000000001</v>
      </c>
      <c r="E25" s="214">
        <v>2461.62</v>
      </c>
      <c r="F25" s="214">
        <v>1193.1261</v>
      </c>
      <c r="G25" s="214">
        <v>4141</v>
      </c>
      <c r="H25" s="247">
        <f t="shared" si="13"/>
        <v>10865.436099999999</v>
      </c>
      <c r="I25" s="214">
        <f t="shared" si="8"/>
        <v>1258.3840725362427</v>
      </c>
      <c r="J25" s="214">
        <f t="shared" si="9"/>
        <v>1513.1178475352924</v>
      </c>
      <c r="K25" s="214">
        <f t="shared" si="10"/>
        <v>2021.4645035673873</v>
      </c>
      <c r="L25" s="214">
        <f t="shared" si="11"/>
        <v>903.19074824868221</v>
      </c>
      <c r="M25" s="214">
        <f t="shared" si="12"/>
        <v>2902.6823837052875</v>
      </c>
      <c r="N25" s="250">
        <f t="shared" si="14"/>
        <v>8598.8395555928928</v>
      </c>
    </row>
    <row r="26" spans="1:14" ht="15.75">
      <c r="A26" s="195">
        <v>8</v>
      </c>
      <c r="B26" s="196" t="s">
        <v>34</v>
      </c>
      <c r="C26" s="214">
        <v>1761.5972080000004</v>
      </c>
      <c r="D26" s="214">
        <v>7990.5038658599997</v>
      </c>
      <c r="E26" s="214">
        <v>7150.0006696499986</v>
      </c>
      <c r="F26" s="214">
        <v>1037.2460967</v>
      </c>
      <c r="G26" s="214">
        <v>8448.6912503699259</v>
      </c>
      <c r="H26" s="247">
        <f t="shared" si="13"/>
        <v>26388.039090579929</v>
      </c>
      <c r="I26" s="214">
        <f t="shared" si="8"/>
        <v>1665.7142729832101</v>
      </c>
      <c r="J26" s="214">
        <f t="shared" si="9"/>
        <v>6953.1212857962437</v>
      </c>
      <c r="K26" s="214">
        <f t="shared" si="10"/>
        <v>5871.5287307466306</v>
      </c>
      <c r="L26" s="214">
        <f t="shared" si="11"/>
        <v>785.19033168120109</v>
      </c>
      <c r="M26" s="214">
        <f t="shared" si="12"/>
        <v>5922.2089490011549</v>
      </c>
      <c r="N26" s="250">
        <f t="shared" si="14"/>
        <v>21197.763570208441</v>
      </c>
    </row>
    <row r="27" spans="1:14" ht="15.75">
      <c r="A27" s="195">
        <v>9</v>
      </c>
      <c r="B27" s="196" t="s">
        <v>35</v>
      </c>
      <c r="C27" s="214">
        <v>5239.7400000000016</v>
      </c>
      <c r="D27" s="214">
        <v>6478.36</v>
      </c>
      <c r="E27" s="214">
        <v>5724.0599999999995</v>
      </c>
      <c r="F27" s="214">
        <v>6565.5999999999995</v>
      </c>
      <c r="G27" s="214">
        <v>9766.369999999999</v>
      </c>
      <c r="H27" s="247">
        <f t="shared" si="13"/>
        <v>33774.130000000005</v>
      </c>
      <c r="I27" s="214">
        <f t="shared" si="8"/>
        <v>4954.5433343585582</v>
      </c>
      <c r="J27" s="214">
        <f t="shared" si="9"/>
        <v>5637.2944146248628</v>
      </c>
      <c r="K27" s="214">
        <f t="shared" si="10"/>
        <v>4700.5565872433353</v>
      </c>
      <c r="L27" s="214">
        <f t="shared" si="11"/>
        <v>4970.1277817169093</v>
      </c>
      <c r="M27" s="214">
        <f t="shared" si="12"/>
        <v>6845.8512803061594</v>
      </c>
      <c r="N27" s="250">
        <f t="shared" si="14"/>
        <v>27108.373398249827</v>
      </c>
    </row>
    <row r="28" spans="1:14" ht="15.75">
      <c r="A28" s="195">
        <v>10</v>
      </c>
      <c r="B28" s="196" t="s">
        <v>36</v>
      </c>
      <c r="C28" s="214">
        <v>1757.13</v>
      </c>
      <c r="D28" s="214">
        <v>4744.6400000000003</v>
      </c>
      <c r="E28" s="214">
        <v>6612.5</v>
      </c>
      <c r="F28" s="214">
        <v>5469.77</v>
      </c>
      <c r="G28" s="214">
        <v>7982.55</v>
      </c>
      <c r="H28" s="247">
        <f t="shared" si="13"/>
        <v>26566.59</v>
      </c>
      <c r="I28" s="214">
        <f t="shared" si="8"/>
        <v>1661.4902130833689</v>
      </c>
      <c r="J28" s="214">
        <f t="shared" si="9"/>
        <v>4128.6579584039346</v>
      </c>
      <c r="K28" s="214">
        <f t="shared" si="10"/>
        <v>5430.1370763315817</v>
      </c>
      <c r="L28" s="214">
        <f t="shared" si="11"/>
        <v>4140.5897155784241</v>
      </c>
      <c r="M28" s="214">
        <f t="shared" si="12"/>
        <v>5595.4617875022077</v>
      </c>
      <c r="N28" s="250">
        <f t="shared" si="14"/>
        <v>20956.336750899518</v>
      </c>
    </row>
    <row r="29" spans="1:14" ht="15.75">
      <c r="A29" s="195">
        <v>11</v>
      </c>
      <c r="B29" s="196" t="s">
        <v>37</v>
      </c>
      <c r="C29" s="214">
        <v>10081.5</v>
      </c>
      <c r="D29" s="214">
        <v>18549.93</v>
      </c>
      <c r="E29" s="214">
        <v>20686.969999999998</v>
      </c>
      <c r="F29" s="214">
        <v>25430</v>
      </c>
      <c r="G29" s="214">
        <v>21009.519999999997</v>
      </c>
      <c r="H29" s="247">
        <f t="shared" si="13"/>
        <v>95757.919999999984</v>
      </c>
      <c r="I29" s="214">
        <f t="shared" si="8"/>
        <v>9532.7685391519026</v>
      </c>
      <c r="J29" s="214">
        <f t="shared" si="9"/>
        <v>16141.649550300106</v>
      </c>
      <c r="K29" s="214">
        <f t="shared" si="10"/>
        <v>16987.98983651556</v>
      </c>
      <c r="L29" s="214">
        <f t="shared" si="11"/>
        <v>19250.38831014089</v>
      </c>
      <c r="M29" s="214">
        <f t="shared" si="12"/>
        <v>14726.868774234219</v>
      </c>
      <c r="N29" s="250">
        <f t="shared" si="14"/>
        <v>76639.66501034268</v>
      </c>
    </row>
    <row r="30" spans="1:14" ht="15.75">
      <c r="A30" s="195">
        <v>12</v>
      </c>
      <c r="B30" s="196" t="s">
        <v>104</v>
      </c>
      <c r="C30" s="214">
        <v>-976.07370000000014</v>
      </c>
      <c r="D30" s="214">
        <v>116.83999999999992</v>
      </c>
      <c r="E30" s="214">
        <v>1278.01</v>
      </c>
      <c r="F30" s="214">
        <v>1406.8699999999994</v>
      </c>
      <c r="G30" s="214">
        <v>2934.63</v>
      </c>
      <c r="H30" s="247">
        <f t="shared" si="13"/>
        <v>4760.2762999999995</v>
      </c>
      <c r="I30" s="214">
        <f t="shared" si="8"/>
        <v>-922.94645233879805</v>
      </c>
      <c r="J30" s="214">
        <f t="shared" si="9"/>
        <v>101.67102158644605</v>
      </c>
      <c r="K30" s="214">
        <f t="shared" si="10"/>
        <v>1049.4925497047298</v>
      </c>
      <c r="L30" s="214">
        <f t="shared" si="11"/>
        <v>1064.9938577226858</v>
      </c>
      <c r="M30" s="214">
        <f t="shared" si="12"/>
        <v>2057.0632223359207</v>
      </c>
      <c r="N30" s="250">
        <f t="shared" si="14"/>
        <v>3350.2741990109844</v>
      </c>
    </row>
    <row r="31" spans="1:14" ht="15.75">
      <c r="A31" s="195">
        <v>13</v>
      </c>
      <c r="B31" s="196" t="s">
        <v>39</v>
      </c>
      <c r="C31" s="214">
        <v>4657.8599999999988</v>
      </c>
      <c r="D31" s="214">
        <v>6313.75</v>
      </c>
      <c r="E31" s="214">
        <v>6196.07</v>
      </c>
      <c r="F31" s="214">
        <v>6134.07</v>
      </c>
      <c r="G31" s="214">
        <v>8923</v>
      </c>
      <c r="H31" s="247">
        <f t="shared" si="13"/>
        <v>32224.75</v>
      </c>
      <c r="I31" s="214">
        <f t="shared" si="8"/>
        <v>4404.3347981723027</v>
      </c>
      <c r="J31" s="214">
        <f t="shared" si="9"/>
        <v>5494.0552254486829</v>
      </c>
      <c r="K31" s="214">
        <f t="shared" si="10"/>
        <v>5088.1677783812211</v>
      </c>
      <c r="L31" s="214">
        <f t="shared" si="11"/>
        <v>4643.4616367119906</v>
      </c>
      <c r="M31" s="214">
        <f t="shared" si="12"/>
        <v>6254.6812146346965</v>
      </c>
      <c r="N31" s="250">
        <f t="shared" si="14"/>
        <v>25884.700653348893</v>
      </c>
    </row>
    <row r="32" spans="1:14" ht="15.75">
      <c r="A32" s="195">
        <v>14</v>
      </c>
      <c r="B32" s="196" t="s">
        <v>40</v>
      </c>
      <c r="C32" s="214">
        <v>4335.1000000000004</v>
      </c>
      <c r="D32" s="214">
        <v>6417.24</v>
      </c>
      <c r="E32" s="214">
        <v>7952.130000000001</v>
      </c>
      <c r="F32" s="214">
        <v>7501.0999999999995</v>
      </c>
      <c r="G32" s="214">
        <v>8119.15</v>
      </c>
      <c r="H32" s="247">
        <f t="shared" si="13"/>
        <v>34324.720000000001</v>
      </c>
      <c r="I32" s="214">
        <f t="shared" si="8"/>
        <v>4099.1424782103268</v>
      </c>
      <c r="J32" s="214">
        <f t="shared" si="9"/>
        <v>5584.1094365406143</v>
      </c>
      <c r="K32" s="214">
        <f t="shared" si="10"/>
        <v>6530.2315234493262</v>
      </c>
      <c r="L32" s="214">
        <f t="shared" si="11"/>
        <v>5678.2968050805275</v>
      </c>
      <c r="M32" s="214">
        <f t="shared" si="12"/>
        <v>5691.2131551945868</v>
      </c>
      <c r="N32" s="250">
        <f t="shared" si="14"/>
        <v>27582.993398475381</v>
      </c>
    </row>
    <row r="33" spans="1:14" ht="15.75">
      <c r="A33" s="195">
        <v>15</v>
      </c>
      <c r="B33" s="196" t="s">
        <v>41</v>
      </c>
      <c r="C33" s="214">
        <v>4461.9399999999996</v>
      </c>
      <c r="D33" s="214">
        <v>10194.82</v>
      </c>
      <c r="E33" s="214">
        <v>14060.24</v>
      </c>
      <c r="F33" s="214">
        <v>12453.07</v>
      </c>
      <c r="G33" s="214">
        <v>17436.999999999996</v>
      </c>
      <c r="H33" s="247">
        <f t="shared" si="13"/>
        <v>58607.069999999992</v>
      </c>
      <c r="I33" s="214">
        <f t="shared" si="8"/>
        <v>4219.0786346856548</v>
      </c>
      <c r="J33" s="214">
        <f t="shared" si="9"/>
        <v>8871.2578251449213</v>
      </c>
      <c r="K33" s="214">
        <f t="shared" si="10"/>
        <v>11546.167187314988</v>
      </c>
      <c r="L33" s="214">
        <f t="shared" si="11"/>
        <v>9426.9143984807779</v>
      </c>
      <c r="M33" s="214">
        <f t="shared" si="12"/>
        <v>12222.669095549163</v>
      </c>
      <c r="N33" s="250">
        <f t="shared" si="14"/>
        <v>46286.087141175507</v>
      </c>
    </row>
    <row r="34" spans="1:14" ht="15.75">
      <c r="A34" s="195">
        <v>16</v>
      </c>
      <c r="B34" s="196" t="s">
        <v>42</v>
      </c>
      <c r="C34" s="214">
        <v>4313.8200000000006</v>
      </c>
      <c r="D34" s="214">
        <v>12165.350000000002</v>
      </c>
      <c r="E34" s="214">
        <v>18687.720000000005</v>
      </c>
      <c r="F34" s="214">
        <v>16466</v>
      </c>
      <c r="G34" s="214">
        <v>19134.000000000004</v>
      </c>
      <c r="H34" s="247">
        <f t="shared" si="13"/>
        <v>70766.890000000014</v>
      </c>
      <c r="I34" s="214">
        <f t="shared" si="8"/>
        <v>4079.0207389341135</v>
      </c>
      <c r="J34" s="214">
        <f t="shared" si="9"/>
        <v>10585.959966250191</v>
      </c>
      <c r="K34" s="214">
        <f t="shared" si="10"/>
        <v>15346.220225951343</v>
      </c>
      <c r="L34" s="214">
        <f t="shared" si="11"/>
        <v>12464.683205457328</v>
      </c>
      <c r="M34" s="214">
        <f t="shared" si="12"/>
        <v>13412.201093894466</v>
      </c>
      <c r="N34" s="250">
        <f t="shared" si="14"/>
        <v>55888.085230487442</v>
      </c>
    </row>
    <row r="35" spans="1:14" ht="15.75">
      <c r="A35" s="195">
        <v>17</v>
      </c>
      <c r="B35" s="196" t="s">
        <v>43</v>
      </c>
      <c r="C35" s="214">
        <v>11275.630000000001</v>
      </c>
      <c r="D35" s="214">
        <v>11702.939999999999</v>
      </c>
      <c r="E35" s="214">
        <v>21589.62</v>
      </c>
      <c r="F35" s="214">
        <v>18902.45</v>
      </c>
      <c r="G35" s="214">
        <v>17828.000000000004</v>
      </c>
      <c r="H35" s="247">
        <f t="shared" si="13"/>
        <v>81298.64</v>
      </c>
      <c r="I35" s="214">
        <f t="shared" si="8"/>
        <v>10661.902586233931</v>
      </c>
      <c r="J35" s="214">
        <f t="shared" si="9"/>
        <v>10183.583236604618</v>
      </c>
      <c r="K35" s="214">
        <f t="shared" si="10"/>
        <v>17729.239474617745</v>
      </c>
      <c r="L35" s="214">
        <f t="shared" si="11"/>
        <v>14309.064196343792</v>
      </c>
      <c r="M35" s="214">
        <f t="shared" si="12"/>
        <v>12496.745118738922</v>
      </c>
      <c r="N35" s="250">
        <f t="shared" si="14"/>
        <v>65380.534612539006</v>
      </c>
    </row>
    <row r="36" spans="1:14" ht="15.75">
      <c r="A36" s="193"/>
      <c r="B36" s="194" t="s">
        <v>139</v>
      </c>
      <c r="C36" s="216">
        <f>SUM(C19:C35)</f>
        <v>64985.903508000003</v>
      </c>
      <c r="D36" s="216">
        <f t="shared" ref="D36:M36" si="15">SUM(D19:D35)</f>
        <v>113884.44386586</v>
      </c>
      <c r="E36" s="216">
        <f t="shared" si="15"/>
        <v>150032.42066965002</v>
      </c>
      <c r="F36" s="216">
        <f t="shared" si="15"/>
        <v>143883.05219670001</v>
      </c>
      <c r="G36" s="216">
        <f t="shared" si="15"/>
        <v>176440.34125036991</v>
      </c>
      <c r="H36" s="247">
        <f t="shared" si="13"/>
        <v>649226.16149057995</v>
      </c>
      <c r="I36" s="216">
        <f t="shared" si="15"/>
        <v>61448.750329754861</v>
      </c>
      <c r="J36" s="216">
        <f t="shared" si="15"/>
        <v>99099.176229427088</v>
      </c>
      <c r="K36" s="216">
        <f t="shared" si="15"/>
        <v>123205.53650359822</v>
      </c>
      <c r="L36" s="216">
        <f t="shared" si="15"/>
        <v>108918.78199114215</v>
      </c>
      <c r="M36" s="216">
        <f t="shared" si="15"/>
        <v>123677.92086993436</v>
      </c>
      <c r="N36" s="250">
        <f t="shared" si="14"/>
        <v>516350.16592385666</v>
      </c>
    </row>
    <row r="37" spans="1:14" ht="15.75">
      <c r="A37" s="193"/>
      <c r="B37" s="194" t="s">
        <v>175</v>
      </c>
      <c r="C37" s="216">
        <f>C36+C17</f>
        <v>71996.833508000011</v>
      </c>
      <c r="D37" s="216">
        <f>D36+D17</f>
        <v>123918.48386586001</v>
      </c>
      <c r="E37" s="216">
        <f>E36+E17</f>
        <v>161944.91066965001</v>
      </c>
      <c r="F37" s="216">
        <f>F36+F17</f>
        <v>156969.02219670001</v>
      </c>
      <c r="G37" s="216">
        <f>G36+G17</f>
        <v>190210.78219036991</v>
      </c>
      <c r="H37" s="247">
        <f t="shared" si="13"/>
        <v>705040.03243057989</v>
      </c>
      <c r="I37" s="216">
        <f>I36+I17</f>
        <v>68078.078597789994</v>
      </c>
      <c r="J37" s="216">
        <f>J36+J17</f>
        <v>107830.52762825679</v>
      </c>
      <c r="K37" s="216">
        <f>K36+K17</f>
        <v>132987.98695659317</v>
      </c>
      <c r="L37" s="216">
        <f>L36+L17</f>
        <v>118824.79866101453</v>
      </c>
      <c r="M37" s="216">
        <f>M36+M17</f>
        <v>133330.47250779771</v>
      </c>
      <c r="N37" s="250">
        <f t="shared" si="14"/>
        <v>561051.86435145221</v>
      </c>
    </row>
    <row r="38" spans="1:14" ht="15.75">
      <c r="A38" s="193" t="s">
        <v>271</v>
      </c>
      <c r="B38" s="194" t="s">
        <v>273</v>
      </c>
      <c r="C38" s="216"/>
      <c r="D38" s="216"/>
      <c r="E38" s="216"/>
      <c r="F38" s="216"/>
      <c r="G38" s="216"/>
      <c r="H38" s="247"/>
      <c r="I38" s="216"/>
      <c r="J38" s="216"/>
      <c r="K38" s="216"/>
      <c r="L38" s="216"/>
      <c r="M38" s="216"/>
      <c r="N38" s="250"/>
    </row>
    <row r="39" spans="1:14" ht="15.75">
      <c r="A39" s="195">
        <v>1</v>
      </c>
      <c r="B39" s="196" t="s">
        <v>145</v>
      </c>
      <c r="C39" s="214">
        <v>-229.06999999999994</v>
      </c>
      <c r="D39" s="214">
        <v>42.710000000000036</v>
      </c>
      <c r="E39" s="214">
        <v>1162.53</v>
      </c>
      <c r="F39" s="214">
        <v>3498</v>
      </c>
      <c r="G39" s="214">
        <v>400</v>
      </c>
      <c r="H39" s="247">
        <f t="shared" si="13"/>
        <v>4874.17</v>
      </c>
      <c r="I39" s="214">
        <f t="shared" ref="I39:M40" si="16">+C39/C$45</f>
        <v>-216.60182406026144</v>
      </c>
      <c r="J39" s="214">
        <f t="shared" si="16"/>
        <v>37.165091851738424</v>
      </c>
      <c r="K39" s="214">
        <f t="shared" si="16"/>
        <v>954.66121063860169</v>
      </c>
      <c r="L39" s="214">
        <f t="shared" si="16"/>
        <v>2647.9692610646021</v>
      </c>
      <c r="M39" s="214">
        <f t="shared" si="16"/>
        <v>280.38467845499031</v>
      </c>
      <c r="N39" s="250">
        <f t="shared" si="14"/>
        <v>3703.5784179496713</v>
      </c>
    </row>
    <row r="40" spans="1:14" ht="15.75">
      <c r="A40" s="195">
        <v>2</v>
      </c>
      <c r="B40" s="196" t="s">
        <v>47</v>
      </c>
      <c r="C40" s="214">
        <v>353.19</v>
      </c>
      <c r="D40" s="214">
        <v>370.23</v>
      </c>
      <c r="E40" s="214">
        <v>765.27</v>
      </c>
      <c r="F40" s="214">
        <v>782.03</v>
      </c>
      <c r="G40" s="214">
        <v>890</v>
      </c>
      <c r="H40" s="247">
        <f t="shared" si="13"/>
        <v>3160.7200000000003</v>
      </c>
      <c r="I40" s="214">
        <f t="shared" si="16"/>
        <v>333.96602889878096</v>
      </c>
      <c r="J40" s="214">
        <f t="shared" si="16"/>
        <v>322.16417598382355</v>
      </c>
      <c r="K40" s="214">
        <f t="shared" si="16"/>
        <v>628.434177754899</v>
      </c>
      <c r="L40" s="214">
        <f t="shared" si="16"/>
        <v>591.9929677616783</v>
      </c>
      <c r="M40" s="214">
        <f t="shared" si="16"/>
        <v>623.85590956235353</v>
      </c>
      <c r="N40" s="250">
        <f t="shared" si="14"/>
        <v>2500.4132599615355</v>
      </c>
    </row>
    <row r="41" spans="1:14" ht="15.75">
      <c r="A41" s="211"/>
      <c r="B41" s="198" t="s">
        <v>146</v>
      </c>
      <c r="C41" s="216">
        <f>C39+C40</f>
        <v>124.12000000000006</v>
      </c>
      <c r="D41" s="216">
        <f t="shared" ref="D41:M41" si="17">D39+D40</f>
        <v>412.94000000000005</v>
      </c>
      <c r="E41" s="216">
        <f t="shared" si="17"/>
        <v>1927.8</v>
      </c>
      <c r="F41" s="216">
        <f t="shared" si="17"/>
        <v>4280.03</v>
      </c>
      <c r="G41" s="216">
        <f t="shared" si="17"/>
        <v>1290</v>
      </c>
      <c r="H41" s="247">
        <f t="shared" si="13"/>
        <v>8034.8899999999994</v>
      </c>
      <c r="I41" s="216">
        <f t="shared" si="17"/>
        <v>117.36420483851953</v>
      </c>
      <c r="J41" s="216">
        <f t="shared" si="17"/>
        <v>359.32926783556195</v>
      </c>
      <c r="K41" s="216">
        <f t="shared" si="17"/>
        <v>1583.0953883935008</v>
      </c>
      <c r="L41" s="216">
        <f t="shared" si="17"/>
        <v>3239.9622288262804</v>
      </c>
      <c r="M41" s="216">
        <f t="shared" si="17"/>
        <v>904.24058801734384</v>
      </c>
      <c r="N41" s="250">
        <f t="shared" si="14"/>
        <v>6203.9916779112064</v>
      </c>
    </row>
    <row r="42" spans="1:14" ht="30.75">
      <c r="A42" s="212"/>
      <c r="B42" s="275" t="s">
        <v>274</v>
      </c>
      <c r="C42" s="216">
        <f t="shared" ref="C42:M42" si="18">C37+C41</f>
        <v>72120.953508000006</v>
      </c>
      <c r="D42" s="216">
        <f t="shared" si="18"/>
        <v>124331.42386586001</v>
      </c>
      <c r="E42" s="216">
        <f t="shared" si="18"/>
        <v>163872.71066965</v>
      </c>
      <c r="F42" s="216">
        <f t="shared" si="18"/>
        <v>161249.05219670001</v>
      </c>
      <c r="G42" s="216">
        <f t="shared" si="18"/>
        <v>191500.78219036991</v>
      </c>
      <c r="H42" s="247">
        <f t="shared" si="13"/>
        <v>713074.9224305799</v>
      </c>
      <c r="I42" s="216">
        <f t="shared" si="18"/>
        <v>68195.442802628517</v>
      </c>
      <c r="J42" s="216">
        <f t="shared" si="18"/>
        <v>108189.85689609236</v>
      </c>
      <c r="K42" s="216">
        <f t="shared" si="18"/>
        <v>134571.08234498667</v>
      </c>
      <c r="L42" s="216">
        <f t="shared" si="18"/>
        <v>122064.76088984081</v>
      </c>
      <c r="M42" s="216">
        <f t="shared" si="18"/>
        <v>134234.71309581504</v>
      </c>
      <c r="N42" s="250">
        <f t="shared" si="14"/>
        <v>567255.85602936335</v>
      </c>
    </row>
    <row r="43" spans="1:14">
      <c r="B43" s="545" t="s">
        <v>181</v>
      </c>
      <c r="C43" s="545"/>
      <c r="D43" s="545"/>
      <c r="E43" s="545"/>
      <c r="F43" s="545"/>
      <c r="G43" s="545"/>
      <c r="H43" s="545"/>
      <c r="I43" s="545"/>
      <c r="J43" s="545"/>
      <c r="K43" s="545"/>
      <c r="L43" s="146"/>
      <c r="M43" s="146"/>
    </row>
    <row r="44" spans="1:14" ht="15.75">
      <c r="C44" s="174" t="s">
        <v>55</v>
      </c>
      <c r="D44" s="174" t="s">
        <v>56</v>
      </c>
      <c r="E44" s="174" t="s">
        <v>7</v>
      </c>
      <c r="F44" s="174" t="s">
        <v>8</v>
      </c>
      <c r="G44" s="175" t="s">
        <v>9</v>
      </c>
      <c r="H44" s="175"/>
      <c r="I44" s="146"/>
      <c r="J44" s="146"/>
      <c r="K44" s="146"/>
      <c r="L44" s="146"/>
      <c r="M44" s="146"/>
    </row>
    <row r="45" spans="1:14" s="148" customFormat="1" ht="12.75">
      <c r="A45" s="184"/>
      <c r="B45" s="148" t="s">
        <v>148</v>
      </c>
      <c r="C45" s="185">
        <v>1.0575626543951435</v>
      </c>
      <c r="D45" s="185">
        <v>1.1491966754819751</v>
      </c>
      <c r="E45" s="185">
        <v>1.2177408980745625</v>
      </c>
      <c r="F45" s="185">
        <v>1.321012313637526</v>
      </c>
      <c r="G45" s="185">
        <v>1.426611476076826</v>
      </c>
      <c r="H45" s="185"/>
      <c r="I45" s="186"/>
      <c r="J45" s="186"/>
      <c r="K45" s="186"/>
      <c r="L45" s="186"/>
      <c r="M45" s="186"/>
    </row>
    <row r="46" spans="1:14">
      <c r="C46" s="186"/>
      <c r="D46" s="186"/>
      <c r="E46" s="186"/>
      <c r="F46" s="186"/>
      <c r="G46" s="186"/>
      <c r="H46" s="186"/>
    </row>
  </sheetData>
  <mergeCells count="6">
    <mergeCell ref="A1:M1"/>
    <mergeCell ref="C2:H2"/>
    <mergeCell ref="B43:K43"/>
    <mergeCell ref="I2:N2"/>
    <mergeCell ref="A2:A4"/>
    <mergeCell ref="B2:B4"/>
  </mergeCells>
  <phoneticPr fontId="63" type="noConversion"/>
  <printOptions horizontalCentered="1"/>
  <pageMargins left="0.23622047244094491" right="0.27559055118110237" top="0.78740157480314965" bottom="0.39370078740157483" header="0" footer="0"/>
  <pageSetup paperSize="9" scale="70" orientation="landscape" horizont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30</vt:i4>
      </vt:variant>
    </vt:vector>
  </HeadingPairs>
  <TitlesOfParts>
    <vt:vector size="63" baseType="lpstr">
      <vt:lpstr>Realization of Outlay 11th Plan</vt:lpstr>
      <vt:lpstr>Outlay % GSDP</vt:lpstr>
      <vt:lpstr>Aggregate Resources</vt:lpstr>
      <vt:lpstr>Aggregate As% of GSDP</vt:lpstr>
      <vt:lpstr>BCR</vt:lpstr>
      <vt:lpstr>BCR As %age of GSDP</vt:lpstr>
      <vt:lpstr>SOR</vt:lpstr>
      <vt:lpstr>SOR As%age of GSDP</vt:lpstr>
      <vt:lpstr>Borrowings</vt:lpstr>
      <vt:lpstr>Borrowings As %age of GSDP</vt:lpstr>
      <vt:lpstr>Central Assistance</vt:lpstr>
      <vt:lpstr>Central Asistant As&amp;age of GSDP</vt:lpstr>
      <vt:lpstr>PSEs</vt:lpstr>
      <vt:lpstr>Transfer to States</vt:lpstr>
      <vt:lpstr>SOTR (%GSDP)</vt:lpstr>
      <vt:lpstr>State Own Tax Revenues</vt:lpstr>
      <vt:lpstr>IP as % of TRR</vt:lpstr>
      <vt:lpstr>Revenue Deficit (%GSDP)</vt:lpstr>
      <vt:lpstr>Fiscal Deficit (%GSDP)</vt:lpstr>
      <vt:lpstr>Outstanding liabilities </vt:lpstr>
      <vt:lpstr>Salaries (% Plan Expenditure)</vt:lpstr>
      <vt:lpstr>Salaries (% Revenue Exp)</vt:lpstr>
      <vt:lpstr>Salaries (% Total Expenditure)</vt:lpstr>
      <vt:lpstr>Public Exp Ratio</vt:lpstr>
      <vt:lpstr>Social Allocation Ratio</vt:lpstr>
      <vt:lpstr>Plan Exp(%GSDP)</vt:lpstr>
      <vt:lpstr>Per Capita Plan Expenditure</vt:lpstr>
      <vt:lpstr>NON Plan Exp(%GSDP)</vt:lpstr>
      <vt:lpstr>Non Plan Exp Per Cap &amp; GSDP</vt:lpstr>
      <vt:lpstr>Per Capita Total Expenditure</vt:lpstr>
      <vt:lpstr>Per Capita GSDP </vt:lpstr>
      <vt:lpstr>Committed Exp Per Capita</vt:lpstr>
      <vt:lpstr>Worksheet Pension &amp; RE</vt:lpstr>
      <vt:lpstr>'Aggregate As% of GSDP'!Print_Area</vt:lpstr>
      <vt:lpstr>'Aggregate Resources'!Print_Area</vt:lpstr>
      <vt:lpstr>BCR!Print_Area</vt:lpstr>
      <vt:lpstr>'BCR As %age of GSDP'!Print_Area</vt:lpstr>
      <vt:lpstr>Borrowings!Print_Area</vt:lpstr>
      <vt:lpstr>'Borrowings As %age of GSDP'!Print_Area</vt:lpstr>
      <vt:lpstr>'Central Asistant As&amp;age of GSDP'!Print_Area</vt:lpstr>
      <vt:lpstr>'Central Assistance'!Print_Area</vt:lpstr>
      <vt:lpstr>'Committed Exp Per Capita'!Print_Area</vt:lpstr>
      <vt:lpstr>'Fiscal Deficit (%GSDP)'!Print_Area</vt:lpstr>
      <vt:lpstr>'IP as % of TRR'!Print_Area</vt:lpstr>
      <vt:lpstr>'NON Plan Exp(%GSDP)'!Print_Area</vt:lpstr>
      <vt:lpstr>'Outlay % GSDP'!Print_Area</vt:lpstr>
      <vt:lpstr>'Outstanding liabilities '!Print_Area</vt:lpstr>
      <vt:lpstr>'Per Capita GSDP '!Print_Area</vt:lpstr>
      <vt:lpstr>'Per Capita Plan Expenditure'!Print_Area</vt:lpstr>
      <vt:lpstr>'Per Capita Total Expenditure'!Print_Area</vt:lpstr>
      <vt:lpstr>'Plan Exp(%GSDP)'!Print_Area</vt:lpstr>
      <vt:lpstr>PSEs!Print_Area</vt:lpstr>
      <vt:lpstr>'Public Exp Ratio'!Print_Area</vt:lpstr>
      <vt:lpstr>'Realization of Outlay 11th Plan'!Print_Area</vt:lpstr>
      <vt:lpstr>'Revenue Deficit (%GSDP)'!Print_Area</vt:lpstr>
      <vt:lpstr>'Salaries (% Plan Expenditure)'!Print_Area</vt:lpstr>
      <vt:lpstr>'Social Allocation Ratio'!Print_Area</vt:lpstr>
      <vt:lpstr>SOR!Print_Area</vt:lpstr>
      <vt:lpstr>'SOR As%age of GSDP'!Print_Area</vt:lpstr>
      <vt:lpstr>'SOTR (%GSDP)'!Print_Area</vt:lpstr>
      <vt:lpstr>'State Own Tax Revenues'!Print_Area</vt:lpstr>
      <vt:lpstr>'Transfer to States'!Print_Area</vt:lpstr>
      <vt:lpstr>'Worksheet Pension &amp; RE'!Print_Area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2012-08-08T11:49:13Z</cp:lastPrinted>
  <dcterms:created xsi:type="dcterms:W3CDTF">2012-07-19T11:01:47Z</dcterms:created>
  <dcterms:modified xsi:type="dcterms:W3CDTF">2012-08-08T11:54:33Z</dcterms:modified>
</cp:coreProperties>
</file>