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18.xml" ContentType="application/vnd.openxmlformats-officedocument.spreadsheetml.comments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16.xml" ContentType="application/vnd.openxmlformats-officedocument.spreadsheetml.comments+xml"/>
  <Override PartName="/xl/comments25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20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omments7.xml" ContentType="application/vnd.openxmlformats-officedocument.spreadsheetml.comment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omments5.xml" ContentType="application/vnd.openxmlformats-officedocument.spreadsheetml.comments+xml"/>
  <Override PartName="/xl/comments19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3.xml" ContentType="application/vnd.openxmlformats-officedocument.spreadsheetml.comments+xml"/>
  <Override PartName="/xl/comments17.xml" ContentType="application/vnd.openxmlformats-officedocument.spreadsheetml.comments+xml"/>
  <Override PartName="/xl/comments26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330" windowHeight="4470"/>
  </bookViews>
  <sheets>
    <sheet name="Realization of Outlay 11th Plan" sheetId="39" r:id="rId1"/>
    <sheet name="Outlay % GSDP" sheetId="40" r:id="rId2"/>
    <sheet name="Aggregate Resources" sheetId="41" r:id="rId3"/>
    <sheet name="Aggregate As% of GSDP" sheetId="42" r:id="rId4"/>
    <sheet name="BCR" sheetId="43" r:id="rId5"/>
    <sheet name="BCR As %age of GSDP" sheetId="44" r:id="rId6"/>
    <sheet name="SOR" sheetId="45" r:id="rId7"/>
    <sheet name="SOR As%age of GSDP" sheetId="46" r:id="rId8"/>
    <sheet name="Borrowings" sheetId="47" r:id="rId9"/>
    <sheet name="Borrowings As %age of GSDP" sheetId="48" r:id="rId10"/>
    <sheet name="Central Assistance" sheetId="49" r:id="rId11"/>
    <sheet name="Central Asistant %age of GSDP" sheetId="50" r:id="rId12"/>
    <sheet name="PSEs" sheetId="51" r:id="rId13"/>
    <sheet name="Transfer to States" sheetId="52" r:id="rId14"/>
    <sheet name="SOTR (%GSDP)" sheetId="20" r:id="rId15"/>
    <sheet name="State Own Tax Revenues" sheetId="1" r:id="rId16"/>
    <sheet name="IP as % of TRR" sheetId="2" r:id="rId17"/>
    <sheet name="Revenue Deficit (%GSDP)" sheetId="3" r:id="rId18"/>
    <sheet name="Fiscal Deficit (%GSDP)" sheetId="4" r:id="rId19"/>
    <sheet name="Outstanding liabilities " sheetId="5" r:id="rId20"/>
    <sheet name="Salaries (% Plan Expenditure)" sheetId="6" r:id="rId21"/>
    <sheet name="Salaries (% Revenue Exp)" sheetId="8" r:id="rId22"/>
    <sheet name="Salaries (% Total Expenditure)" sheetId="7" r:id="rId23"/>
    <sheet name="Public Exp Ratio" sheetId="9" r:id="rId24"/>
    <sheet name="Social Allocation Ratio" sheetId="10" r:id="rId25"/>
    <sheet name="Plan Exp(%GSDP)" sheetId="11" r:id="rId26"/>
    <sheet name="Per Capita Plan Expenditure" sheetId="12" r:id="rId27"/>
    <sheet name="NON Plan Exp(%GSDP)" sheetId="13" r:id="rId28"/>
    <sheet name="Non Plan Exp Per Cap &amp; GSDP" sheetId="14" r:id="rId29"/>
    <sheet name="Per Capita Total Expenditure" sheetId="15" r:id="rId30"/>
    <sheet name="Per Capita GSDP " sheetId="18" r:id="rId31"/>
    <sheet name="Committed Exp Per Capita" sheetId="17" r:id="rId32"/>
    <sheet name="Worksheet Pension &amp; RE" sheetId="19" r:id="rId33"/>
    <sheet name="PP,IP,&amp; Total Expenditure" sheetId="38" r:id="rId34"/>
  </sheets>
  <externalReferences>
    <externalReference r:id="rId35"/>
    <externalReference r:id="rId36"/>
    <externalReference r:id="rId37"/>
    <externalReference r:id="rId38"/>
  </externalReferences>
  <definedNames>
    <definedName name="aca" localSheetId="3">#REF!</definedName>
    <definedName name="aca" localSheetId="2">#REF!</definedName>
    <definedName name="aca" localSheetId="4">#REF!</definedName>
    <definedName name="aca" localSheetId="5">#REF!</definedName>
    <definedName name="aca" localSheetId="8">#REF!</definedName>
    <definedName name="aca" localSheetId="9">#REF!</definedName>
    <definedName name="aca" localSheetId="11">#REF!</definedName>
    <definedName name="aca" localSheetId="10">#REF!</definedName>
    <definedName name="aca" localSheetId="1">#REF!</definedName>
    <definedName name="aca" localSheetId="33">#REF!</definedName>
    <definedName name="aca" localSheetId="12">#REF!</definedName>
    <definedName name="aca" localSheetId="0">#REF!</definedName>
    <definedName name="aca" localSheetId="6">#REF!</definedName>
    <definedName name="aca" localSheetId="7">#REF!</definedName>
    <definedName name="aca" localSheetId="13">#REF!</definedName>
    <definedName name="aca">#REF!</definedName>
    <definedName name="aruaca" localSheetId="3">#REF!</definedName>
    <definedName name="aruaca" localSheetId="5">#REF!</definedName>
    <definedName name="aruaca" localSheetId="9">#REF!</definedName>
    <definedName name="aruaca" localSheetId="11">#REF!</definedName>
    <definedName name="aruaca" localSheetId="33">#REF!</definedName>
    <definedName name="aruaca" localSheetId="12">#REF!</definedName>
    <definedName name="aruaca" localSheetId="7">#REF!</definedName>
    <definedName name="aruaca">#REF!</definedName>
    <definedName name="bbbcr">'[1]BCR-Annex3'!$A$2:$J$31</definedName>
    <definedName name="BBCR">'[2]BCR-Annex3'!$A$2:$J$30</definedName>
    <definedName name="BCR" localSheetId="3">#REF!</definedName>
    <definedName name="BCR" localSheetId="2">#REF!</definedName>
    <definedName name="BCR" localSheetId="4">#REF!</definedName>
    <definedName name="BCR" localSheetId="5">#REF!</definedName>
    <definedName name="BCR" localSheetId="8">#REF!</definedName>
    <definedName name="BCR" localSheetId="9">#REF!</definedName>
    <definedName name="BCR" localSheetId="11">#REF!</definedName>
    <definedName name="BCR" localSheetId="10">#REF!</definedName>
    <definedName name="BCR" localSheetId="1">#REF!</definedName>
    <definedName name="BCR" localSheetId="33">#REF!</definedName>
    <definedName name="BCR" localSheetId="12">#REF!</definedName>
    <definedName name="BCR" localSheetId="0">#REF!</definedName>
    <definedName name="BCR" localSheetId="6">#REF!</definedName>
    <definedName name="BCR" localSheetId="7">#REF!</definedName>
    <definedName name="BCR" localSheetId="13">#REF!</definedName>
    <definedName name="BCR">#REF!</definedName>
    <definedName name="Brief" localSheetId="3">#REF!</definedName>
    <definedName name="Brief" localSheetId="5">#REF!</definedName>
    <definedName name="Brief" localSheetId="9">#REF!</definedName>
    <definedName name="Brief" localSheetId="11">#REF!</definedName>
    <definedName name="Brief" localSheetId="33">#REF!</definedName>
    <definedName name="Brief" localSheetId="12">#REF!</definedName>
    <definedName name="Brief" localSheetId="7">#REF!</definedName>
    <definedName name="Brief">#REF!</definedName>
    <definedName name="dada" localSheetId="3">[3]Brief!#REF!</definedName>
    <definedName name="dada" localSheetId="5">[3]Brief!#REF!</definedName>
    <definedName name="dada" localSheetId="9">[3]Brief!#REF!</definedName>
    <definedName name="dada" localSheetId="11">[3]Brief!#REF!</definedName>
    <definedName name="dada" localSheetId="33">[3]Brief!#REF!</definedName>
    <definedName name="dada" localSheetId="12">[3]Brief!#REF!</definedName>
    <definedName name="dada" localSheetId="7">[3]Brief!#REF!</definedName>
    <definedName name="dada">[3]Brief!#REF!</definedName>
    <definedName name="data" localSheetId="3">#REF!</definedName>
    <definedName name="data" localSheetId="2">#REF!</definedName>
    <definedName name="data" localSheetId="4">#REF!</definedName>
    <definedName name="data" localSheetId="5">#REF!</definedName>
    <definedName name="data" localSheetId="8">#REF!</definedName>
    <definedName name="data" localSheetId="9">#REF!</definedName>
    <definedName name="data" localSheetId="11">#REF!</definedName>
    <definedName name="data" localSheetId="10">#REF!</definedName>
    <definedName name="data" localSheetId="1">#REF!</definedName>
    <definedName name="data" localSheetId="33">#REF!</definedName>
    <definedName name="data" localSheetId="12">#REF!</definedName>
    <definedName name="data" localSheetId="0">#REF!</definedName>
    <definedName name="data" localSheetId="6">#REF!</definedName>
    <definedName name="data" localSheetId="7">#REF!</definedName>
    <definedName name="data" localSheetId="13">#REF!</definedName>
    <definedName name="data">#REF!</definedName>
    <definedName name="data2" localSheetId="3">[1]Brief!#REF!</definedName>
    <definedName name="data2" localSheetId="2">[1]Brief!#REF!</definedName>
    <definedName name="data2" localSheetId="4">[1]Brief!#REF!</definedName>
    <definedName name="data2" localSheetId="5">[1]Brief!#REF!</definedName>
    <definedName name="data2" localSheetId="8">[1]Brief!#REF!</definedName>
    <definedName name="data2" localSheetId="9">[1]Brief!#REF!</definedName>
    <definedName name="data2" localSheetId="11">[1]Brief!#REF!</definedName>
    <definedName name="data2" localSheetId="10">[1]Brief!#REF!</definedName>
    <definedName name="data2" localSheetId="1">[1]Brief!#REF!</definedName>
    <definedName name="data2" localSheetId="33">[1]Brief!#REF!</definedName>
    <definedName name="data2" localSheetId="12">[1]Brief!#REF!</definedName>
    <definedName name="data2" localSheetId="0">[1]Brief!#REF!</definedName>
    <definedName name="data2" localSheetId="6">[1]Brief!#REF!</definedName>
    <definedName name="data2" localSheetId="7">[1]Brief!#REF!</definedName>
    <definedName name="data2" localSheetId="13">[1]Brief!#REF!</definedName>
    <definedName name="data2">[1]Brief!#REF!</definedName>
    <definedName name="_xlnm.Extract" localSheetId="3">[4]FORM5!#REF!</definedName>
    <definedName name="_xlnm.Extract" localSheetId="5">[4]FORM5!#REF!</definedName>
    <definedName name="_xlnm.Extract" localSheetId="9">[4]FORM5!#REF!</definedName>
    <definedName name="_xlnm.Extract" localSheetId="11">[4]FORM5!#REF!</definedName>
    <definedName name="_xlnm.Extract" localSheetId="33">[4]FORM5!#REF!</definedName>
    <definedName name="_xlnm.Extract" localSheetId="12">[4]FORM5!#REF!</definedName>
    <definedName name="_xlnm.Extract" localSheetId="7">[4]FORM5!#REF!</definedName>
    <definedName name="_xlnm.Extract">[4]FORM5!#REF!</definedName>
    <definedName name="facts" localSheetId="3">#REF!</definedName>
    <definedName name="facts" localSheetId="2">#REF!</definedName>
    <definedName name="facts" localSheetId="4">#REF!</definedName>
    <definedName name="facts" localSheetId="5">#REF!</definedName>
    <definedName name="facts" localSheetId="8">#REF!</definedName>
    <definedName name="facts" localSheetId="9">#REF!</definedName>
    <definedName name="facts" localSheetId="11">#REF!</definedName>
    <definedName name="facts" localSheetId="10">#REF!</definedName>
    <definedName name="facts" localSheetId="1">#REF!</definedName>
    <definedName name="facts" localSheetId="33">#REF!</definedName>
    <definedName name="facts" localSheetId="12">#REF!</definedName>
    <definedName name="facts" localSheetId="0">#REF!</definedName>
    <definedName name="facts" localSheetId="6">#REF!</definedName>
    <definedName name="facts" localSheetId="7">#REF!</definedName>
    <definedName name="facts" localSheetId="13">#REF!</definedName>
    <definedName name="facts">#REF!</definedName>
    <definedName name="Form1" localSheetId="3">#REF!</definedName>
    <definedName name="Form1" localSheetId="5">#REF!</definedName>
    <definedName name="Form1" localSheetId="9">#REF!</definedName>
    <definedName name="Form1" localSheetId="11">#REF!</definedName>
    <definedName name="Form1" localSheetId="33">#REF!</definedName>
    <definedName name="Form1" localSheetId="12">#REF!</definedName>
    <definedName name="Form1" localSheetId="7">#REF!</definedName>
    <definedName name="Form1">#REF!</definedName>
    <definedName name="FormIA" localSheetId="3">#REF!</definedName>
    <definedName name="FormIA" localSheetId="5">#REF!</definedName>
    <definedName name="FormIA" localSheetId="9">#REF!</definedName>
    <definedName name="FormIA" localSheetId="11">#REF!</definedName>
    <definedName name="FormIA" localSheetId="33">#REF!</definedName>
    <definedName name="FormIA" localSheetId="12">#REF!</definedName>
    <definedName name="FormIA" localSheetId="7">#REF!</definedName>
    <definedName name="FormIA">#REF!</definedName>
    <definedName name="PChange" localSheetId="3">#REF!</definedName>
    <definedName name="PChange" localSheetId="5">#REF!</definedName>
    <definedName name="PChange" localSheetId="9">#REF!</definedName>
    <definedName name="PChange" localSheetId="11">#REF!</definedName>
    <definedName name="PChange" localSheetId="33">#REF!</definedName>
    <definedName name="PChange" localSheetId="12">#REF!</definedName>
    <definedName name="PChange" localSheetId="7">#REF!</definedName>
    <definedName name="PChange">#REF!</definedName>
    <definedName name="_xlnm.Print_Area" localSheetId="3">'Aggregate As% of GSDP'!$A$1:$X$43</definedName>
    <definedName name="_xlnm.Print_Area" localSheetId="2">'Aggregate Resources'!$A$1:$P$46</definedName>
    <definedName name="_xlnm.Print_Area" localSheetId="4">BCR!$A$1:$P$45</definedName>
    <definedName name="_xlnm.Print_Area" localSheetId="5">'BCR As %age of GSDP'!$A$1:$P$45</definedName>
    <definedName name="_xlnm.Print_Area" localSheetId="8">Borrowings!$A$1:$O$46</definedName>
    <definedName name="_xlnm.Print_Area" localSheetId="9">'Borrowings As %age of GSDP'!$A$1:$O$46</definedName>
    <definedName name="_xlnm.Print_Area" localSheetId="11">'Central Asistant %age of GSDP'!$A$1:$P$46</definedName>
    <definedName name="_xlnm.Print_Area" localSheetId="10">'Central Assistance'!$A$1:$P$46</definedName>
    <definedName name="_xlnm.Print_Area" localSheetId="31">'Committed Exp Per Capita'!$A$1:$V$43</definedName>
    <definedName name="_xlnm.Print_Area" localSheetId="18">'Fiscal Deficit (%GSDP)'!$A$1:$V$43</definedName>
    <definedName name="_xlnm.Print_Area" localSheetId="16">'IP as % of TRR'!$A$1:$V$43</definedName>
    <definedName name="_xlnm.Print_Area" localSheetId="27">'NON Plan Exp(%GSDP)'!$A$1:$V$43</definedName>
    <definedName name="_xlnm.Print_Area" localSheetId="1">'Outlay % GSDP'!$A$1:$X$48</definedName>
    <definedName name="_xlnm.Print_Area" localSheetId="19">'Outstanding liabilities '!$A$1:$V$43</definedName>
    <definedName name="_xlnm.Print_Area" localSheetId="30">'Per Capita GSDP '!$A$1:$V$44</definedName>
    <definedName name="_xlnm.Print_Area" localSheetId="26">'Per Capita Plan Expenditure'!$A$1:$V$43</definedName>
    <definedName name="_xlnm.Print_Area" localSheetId="29">'Per Capita Total Expenditure'!$A$1:$V$43</definedName>
    <definedName name="_xlnm.Print_Area" localSheetId="25">'Plan Exp(%GSDP)'!$A$1:$V$43</definedName>
    <definedName name="_xlnm.Print_Area" localSheetId="33">'PP,IP,&amp; Total Expenditure'!$A$1:$I$9</definedName>
    <definedName name="_xlnm.Print_Area" localSheetId="12">PSEs!$A$1:$P$46</definedName>
    <definedName name="_xlnm.Print_Area" localSheetId="23">'Public Exp Ratio'!$A$1:$V$43</definedName>
    <definedName name="_xlnm.Print_Area" localSheetId="0">'Realization of Outlay 11th Plan'!$A$1:$P$52</definedName>
    <definedName name="_xlnm.Print_Area" localSheetId="17">'Revenue Deficit (%GSDP)'!$A$1:$V$43</definedName>
    <definedName name="_xlnm.Print_Area" localSheetId="20">'Salaries (% Plan Expenditure)'!$A$1:$V$43</definedName>
    <definedName name="_xlnm.Print_Area" localSheetId="24">'Social Allocation Ratio'!$A$1:$V$43</definedName>
    <definedName name="_xlnm.Print_Area" localSheetId="6">SOR!$A$1:$P$46</definedName>
    <definedName name="_xlnm.Print_Area" localSheetId="7">'SOR As%age of GSDP'!$A$1:$P$46</definedName>
    <definedName name="_xlnm.Print_Area" localSheetId="14">'SOTR (%GSDP)'!$A$1:$V$43</definedName>
    <definedName name="_xlnm.Print_Area" localSheetId="15">'State Own Tax Revenues'!$A$1:$V$43</definedName>
    <definedName name="_xlnm.Print_Area" localSheetId="13">'Transfer to States'!$A$2:$K$38</definedName>
    <definedName name="_xlnm.Print_Area" localSheetId="32">'Worksheet Pension &amp; RE'!$A$1:$O$44</definedName>
    <definedName name="_xlnm.Print_Area">#REF!</definedName>
    <definedName name="PRINT_AREA_MI" localSheetId="3">#REF!</definedName>
    <definedName name="PRINT_AREA_MI" localSheetId="2">#REF!</definedName>
    <definedName name="PRINT_AREA_MI" localSheetId="4">#REF!</definedName>
    <definedName name="PRINT_AREA_MI" localSheetId="5">#REF!</definedName>
    <definedName name="PRINT_AREA_MI" localSheetId="8">#REF!</definedName>
    <definedName name="PRINT_AREA_MI" localSheetId="9">#REF!</definedName>
    <definedName name="PRINT_AREA_MI" localSheetId="11">#REF!</definedName>
    <definedName name="PRINT_AREA_MI" localSheetId="10">#REF!</definedName>
    <definedName name="PRINT_AREA_MI" localSheetId="33">#REF!</definedName>
    <definedName name="PRINT_AREA_MI" localSheetId="12">#REF!</definedName>
    <definedName name="PRINT_AREA_MI" localSheetId="6">#REF!</definedName>
    <definedName name="PRINT_AREA_MI" localSheetId="7">#REF!</definedName>
    <definedName name="PRINT_AREA_MI" localSheetId="14">#REF!</definedName>
    <definedName name="PRINT_AREA_MI" localSheetId="13">#REF!</definedName>
    <definedName name="PRINT_AREA_MI" localSheetId="32">#REF!</definedName>
    <definedName name="PRINT_AREA_MI">#REF!</definedName>
    <definedName name="_xlnm.Print_Titles" localSheetId="13">'Transfer to States'!#REF!</definedName>
    <definedName name="SOF" localSheetId="3">#REF!</definedName>
    <definedName name="SOF" localSheetId="5">#REF!</definedName>
    <definedName name="SOF" localSheetId="9">#REF!</definedName>
    <definedName name="SOF" localSheetId="11">#REF!</definedName>
    <definedName name="SOF" localSheetId="33">#REF!</definedName>
    <definedName name="SOF" localSheetId="12">#REF!</definedName>
    <definedName name="SOF" localSheetId="7">#REF!</definedName>
    <definedName name="SOF">#REF!</definedName>
  </definedNames>
  <calcPr calcId="114210"/>
</workbook>
</file>

<file path=xl/calcChain.xml><?xml version="1.0" encoding="utf-8"?>
<calcChain xmlns="http://schemas.openxmlformats.org/spreadsheetml/2006/main">
  <c r="J7" i="39"/>
  <c r="K7"/>
  <c r="L7"/>
  <c r="M7"/>
  <c r="N7"/>
  <c r="O7"/>
  <c r="P7"/>
  <c r="J8"/>
  <c r="K8"/>
  <c r="L8"/>
  <c r="M8"/>
  <c r="N8"/>
  <c r="O8"/>
  <c r="P8"/>
  <c r="J9"/>
  <c r="K9"/>
  <c r="L9"/>
  <c r="M9"/>
  <c r="N9"/>
  <c r="O9"/>
  <c r="P9"/>
  <c r="J10"/>
  <c r="K10"/>
  <c r="L10"/>
  <c r="M10"/>
  <c r="N10"/>
  <c r="O10"/>
  <c r="P10"/>
  <c r="J11"/>
  <c r="K11"/>
  <c r="L11"/>
  <c r="M11"/>
  <c r="N11"/>
  <c r="O11"/>
  <c r="P11"/>
  <c r="J12"/>
  <c r="K12"/>
  <c r="L12"/>
  <c r="M12"/>
  <c r="N12"/>
  <c r="O12"/>
  <c r="P12"/>
  <c r="J13"/>
  <c r="K13"/>
  <c r="L13"/>
  <c r="M13"/>
  <c r="N13"/>
  <c r="O13"/>
  <c r="P13"/>
  <c r="J14"/>
  <c r="K14"/>
  <c r="L14"/>
  <c r="M14"/>
  <c r="N14"/>
  <c r="O14"/>
  <c r="P14"/>
  <c r="J15"/>
  <c r="K15"/>
  <c r="L15"/>
  <c r="M15"/>
  <c r="N15"/>
  <c r="O15"/>
  <c r="P15"/>
  <c r="J16"/>
  <c r="K16"/>
  <c r="L16"/>
  <c r="M16"/>
  <c r="N16"/>
  <c r="O16"/>
  <c r="P16"/>
  <c r="J17"/>
  <c r="K17"/>
  <c r="L17"/>
  <c r="M17"/>
  <c r="N17"/>
  <c r="O17"/>
  <c r="P17"/>
  <c r="C18"/>
  <c r="D18"/>
  <c r="E18"/>
  <c r="F18"/>
  <c r="G18"/>
  <c r="H18"/>
  <c r="I18"/>
  <c r="J18"/>
  <c r="K18"/>
  <c r="L18"/>
  <c r="M18"/>
  <c r="N18"/>
  <c r="O18"/>
  <c r="P18"/>
  <c r="J20"/>
  <c r="K20"/>
  <c r="L20"/>
  <c r="M20"/>
  <c r="N20"/>
  <c r="O20"/>
  <c r="P20"/>
  <c r="J21"/>
  <c r="K21"/>
  <c r="L21"/>
  <c r="M21"/>
  <c r="N21"/>
  <c r="O21"/>
  <c r="P21"/>
  <c r="J22"/>
  <c r="K22"/>
  <c r="L22"/>
  <c r="M22"/>
  <c r="N22"/>
  <c r="O22"/>
  <c r="P22"/>
  <c r="J23"/>
  <c r="K23"/>
  <c r="L23"/>
  <c r="M23"/>
  <c r="N23"/>
  <c r="O23"/>
  <c r="P23"/>
  <c r="J24"/>
  <c r="K24"/>
  <c r="L24"/>
  <c r="M24"/>
  <c r="N24"/>
  <c r="O24"/>
  <c r="P24"/>
  <c r="J25"/>
  <c r="K25"/>
  <c r="L25"/>
  <c r="M25"/>
  <c r="N25"/>
  <c r="O25"/>
  <c r="P25"/>
  <c r="J26"/>
  <c r="K26"/>
  <c r="L26"/>
  <c r="M26"/>
  <c r="N26"/>
  <c r="O26"/>
  <c r="P26"/>
  <c r="J27"/>
  <c r="K27"/>
  <c r="L27"/>
  <c r="M27"/>
  <c r="N27"/>
  <c r="O27"/>
  <c r="P27"/>
  <c r="J28"/>
  <c r="K28"/>
  <c r="L28"/>
  <c r="M28"/>
  <c r="N28"/>
  <c r="O28"/>
  <c r="P28"/>
  <c r="J29"/>
  <c r="K29"/>
  <c r="L29"/>
  <c r="M29"/>
  <c r="N29"/>
  <c r="O29"/>
  <c r="P29"/>
  <c r="J30"/>
  <c r="K30"/>
  <c r="L30"/>
  <c r="M30"/>
  <c r="N30"/>
  <c r="O30"/>
  <c r="P30"/>
  <c r="J31"/>
  <c r="K31"/>
  <c r="L31"/>
  <c r="M31"/>
  <c r="N31"/>
  <c r="O31"/>
  <c r="P31"/>
  <c r="J32"/>
  <c r="K32"/>
  <c r="L32"/>
  <c r="M32"/>
  <c r="N32"/>
  <c r="O32"/>
  <c r="P32"/>
  <c r="J33"/>
  <c r="K33"/>
  <c r="L33"/>
  <c r="M33"/>
  <c r="N33"/>
  <c r="O33"/>
  <c r="P33"/>
  <c r="J34"/>
  <c r="K34"/>
  <c r="L34"/>
  <c r="M34"/>
  <c r="N34"/>
  <c r="O34"/>
  <c r="P34"/>
  <c r="J35"/>
  <c r="K35"/>
  <c r="L35"/>
  <c r="M35"/>
  <c r="N35"/>
  <c r="O35"/>
  <c r="P35"/>
  <c r="J36"/>
  <c r="K36"/>
  <c r="L36"/>
  <c r="M36"/>
  <c r="N36"/>
  <c r="O36"/>
  <c r="P36"/>
  <c r="C37"/>
  <c r="D37"/>
  <c r="E37"/>
  <c r="F37"/>
  <c r="G37"/>
  <c r="H37"/>
  <c r="I37"/>
  <c r="J37"/>
  <c r="K37"/>
  <c r="L37"/>
  <c r="M37"/>
  <c r="N37"/>
  <c r="O37"/>
  <c r="P37"/>
  <c r="C38"/>
  <c r="D38"/>
  <c r="E38"/>
  <c r="F38"/>
  <c r="G38"/>
  <c r="H38"/>
  <c r="I38"/>
  <c r="J38"/>
  <c r="K38"/>
  <c r="L38"/>
  <c r="M38"/>
  <c r="N38"/>
  <c r="O38"/>
  <c r="P38"/>
  <c r="J40"/>
  <c r="K40"/>
  <c r="L40"/>
  <c r="M40"/>
  <c r="N40"/>
  <c r="O40"/>
  <c r="P40"/>
  <c r="J41"/>
  <c r="K41"/>
  <c r="L41"/>
  <c r="M41"/>
  <c r="N41"/>
  <c r="O41"/>
  <c r="P41"/>
  <c r="J42"/>
  <c r="K42"/>
  <c r="L42"/>
  <c r="M42"/>
  <c r="N42"/>
  <c r="O42"/>
  <c r="P42"/>
  <c r="J43"/>
  <c r="K43"/>
  <c r="L43"/>
  <c r="M43"/>
  <c r="N43"/>
  <c r="O43"/>
  <c r="P43"/>
  <c r="J44"/>
  <c r="K44"/>
  <c r="L44"/>
  <c r="M44"/>
  <c r="N44"/>
  <c r="O44"/>
  <c r="P44"/>
  <c r="J45"/>
  <c r="K45"/>
  <c r="L45"/>
  <c r="M45"/>
  <c r="N45"/>
  <c r="O45"/>
  <c r="P45"/>
  <c r="J46"/>
  <c r="K46"/>
  <c r="L46"/>
  <c r="M46"/>
  <c r="N46"/>
  <c r="O46"/>
  <c r="P46"/>
  <c r="C47"/>
  <c r="D47"/>
  <c r="E47"/>
  <c r="F47"/>
  <c r="G47"/>
  <c r="H47"/>
  <c r="I47"/>
  <c r="J47"/>
  <c r="K47"/>
  <c r="L47"/>
  <c r="M47"/>
  <c r="N47"/>
  <c r="O47"/>
  <c r="P47"/>
  <c r="C48"/>
  <c r="D48"/>
  <c r="E48"/>
  <c r="F48"/>
  <c r="G48"/>
  <c r="H48"/>
  <c r="I48"/>
  <c r="J48"/>
  <c r="K48"/>
  <c r="L48"/>
  <c r="M48"/>
  <c r="N48"/>
  <c r="O48"/>
  <c r="P48"/>
  <c r="Q7" i="40"/>
  <c r="R7"/>
  <c r="S7"/>
  <c r="T7"/>
  <c r="U7"/>
  <c r="V7"/>
  <c r="W7"/>
  <c r="X7"/>
  <c r="Q8"/>
  <c r="R8"/>
  <c r="S8"/>
  <c r="T8"/>
  <c r="U8"/>
  <c r="V8"/>
  <c r="W8"/>
  <c r="X8"/>
  <c r="Q9"/>
  <c r="R9"/>
  <c r="S9"/>
  <c r="T9"/>
  <c r="U9"/>
  <c r="V9"/>
  <c r="W9"/>
  <c r="X9"/>
  <c r="Q10"/>
  <c r="R10"/>
  <c r="S10"/>
  <c r="T10"/>
  <c r="U10"/>
  <c r="V10"/>
  <c r="W10"/>
  <c r="X10"/>
  <c r="P11"/>
  <c r="Q11"/>
  <c r="R11"/>
  <c r="S11"/>
  <c r="T11"/>
  <c r="U11"/>
  <c r="V11"/>
  <c r="W11"/>
  <c r="X11"/>
  <c r="Q12"/>
  <c r="R12"/>
  <c r="S12"/>
  <c r="T12"/>
  <c r="U12"/>
  <c r="V12"/>
  <c r="W12"/>
  <c r="X12"/>
  <c r="P13"/>
  <c r="Q13"/>
  <c r="R13"/>
  <c r="S13"/>
  <c r="T13"/>
  <c r="U13"/>
  <c r="V13"/>
  <c r="W13"/>
  <c r="X13"/>
  <c r="P14"/>
  <c r="Q14"/>
  <c r="R14"/>
  <c r="S14"/>
  <c r="T14"/>
  <c r="U14"/>
  <c r="V14"/>
  <c r="W14"/>
  <c r="X14"/>
  <c r="P15"/>
  <c r="Q15"/>
  <c r="R15"/>
  <c r="S15"/>
  <c r="T15"/>
  <c r="U15"/>
  <c r="V15"/>
  <c r="W15"/>
  <c r="X15"/>
  <c r="P16"/>
  <c r="Q16"/>
  <c r="R16"/>
  <c r="S16"/>
  <c r="T16"/>
  <c r="U16"/>
  <c r="V16"/>
  <c r="W16"/>
  <c r="X16"/>
  <c r="Q17"/>
  <c r="R17"/>
  <c r="S17"/>
  <c r="T17"/>
  <c r="U17"/>
  <c r="V17"/>
  <c r="W17"/>
  <c r="X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Q20"/>
  <c r="R20"/>
  <c r="S20"/>
  <c r="T20"/>
  <c r="U20"/>
  <c r="V20"/>
  <c r="W20"/>
  <c r="X20"/>
  <c r="Q21"/>
  <c r="R21"/>
  <c r="S21"/>
  <c r="T21"/>
  <c r="U21"/>
  <c r="V21"/>
  <c r="W21"/>
  <c r="X21"/>
  <c r="Q22"/>
  <c r="R22"/>
  <c r="S22"/>
  <c r="T22"/>
  <c r="U22"/>
  <c r="V22"/>
  <c r="W22"/>
  <c r="X22"/>
  <c r="P23"/>
  <c r="Q23"/>
  <c r="R23"/>
  <c r="S23"/>
  <c r="T23"/>
  <c r="U23"/>
  <c r="V23"/>
  <c r="W23"/>
  <c r="X23"/>
  <c r="P24"/>
  <c r="Q24"/>
  <c r="R24"/>
  <c r="S24"/>
  <c r="T24"/>
  <c r="U24"/>
  <c r="V24"/>
  <c r="W24"/>
  <c r="X24"/>
  <c r="Q25"/>
  <c r="R25"/>
  <c r="S25"/>
  <c r="T25"/>
  <c r="U25"/>
  <c r="V25"/>
  <c r="W25"/>
  <c r="X25"/>
  <c r="Q26"/>
  <c r="R26"/>
  <c r="S26"/>
  <c r="T26"/>
  <c r="U26"/>
  <c r="V26"/>
  <c r="W26"/>
  <c r="X26"/>
  <c r="Q27"/>
  <c r="R27"/>
  <c r="S27"/>
  <c r="T27"/>
  <c r="U27"/>
  <c r="V27"/>
  <c r="W27"/>
  <c r="X27"/>
  <c r="P28"/>
  <c r="Q28"/>
  <c r="R28"/>
  <c r="S28"/>
  <c r="T28"/>
  <c r="U28"/>
  <c r="V28"/>
  <c r="W28"/>
  <c r="X28"/>
  <c r="Q29"/>
  <c r="R29"/>
  <c r="S29"/>
  <c r="T29"/>
  <c r="U29"/>
  <c r="V29"/>
  <c r="W29"/>
  <c r="X29"/>
  <c r="P30"/>
  <c r="Q30"/>
  <c r="R30"/>
  <c r="S30"/>
  <c r="T30"/>
  <c r="U30"/>
  <c r="V30"/>
  <c r="W30"/>
  <c r="X30"/>
  <c r="Q31"/>
  <c r="R31"/>
  <c r="S31"/>
  <c r="T31"/>
  <c r="U31"/>
  <c r="V31"/>
  <c r="W31"/>
  <c r="X31"/>
  <c r="Q32"/>
  <c r="R32"/>
  <c r="S32"/>
  <c r="T32"/>
  <c r="U32"/>
  <c r="V32"/>
  <c r="W32"/>
  <c r="X32"/>
  <c r="Q33"/>
  <c r="R33"/>
  <c r="S33"/>
  <c r="T33"/>
  <c r="U33"/>
  <c r="V33"/>
  <c r="W33"/>
  <c r="X33"/>
  <c r="Q34"/>
  <c r="R34"/>
  <c r="S34"/>
  <c r="T34"/>
  <c r="U34"/>
  <c r="V34"/>
  <c r="W34"/>
  <c r="X34"/>
  <c r="Q35"/>
  <c r="R35"/>
  <c r="S35"/>
  <c r="T35"/>
  <c r="U35"/>
  <c r="V35"/>
  <c r="W35"/>
  <c r="X35"/>
  <c r="Q36"/>
  <c r="R36"/>
  <c r="S36"/>
  <c r="T36"/>
  <c r="U36"/>
  <c r="V36"/>
  <c r="W36"/>
  <c r="X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O40"/>
  <c r="P40"/>
  <c r="Q40"/>
  <c r="R40"/>
  <c r="S40"/>
  <c r="T40"/>
  <c r="U40"/>
  <c r="V40"/>
  <c r="W40"/>
  <c r="X40"/>
  <c r="O41"/>
  <c r="P41"/>
  <c r="Q41"/>
  <c r="R41"/>
  <c r="S41"/>
  <c r="T41"/>
  <c r="U41"/>
  <c r="V41"/>
  <c r="W41"/>
  <c r="X41"/>
  <c r="Q44"/>
  <c r="R44"/>
  <c r="S44"/>
  <c r="T44"/>
  <c r="U44"/>
  <c r="V44"/>
  <c r="W44"/>
  <c r="X44"/>
  <c r="W45"/>
  <c r="Q46"/>
  <c r="R46"/>
  <c r="S46"/>
  <c r="T46"/>
  <c r="U46"/>
  <c r="V46"/>
  <c r="W46"/>
  <c r="X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J7" i="41"/>
  <c r="K7"/>
  <c r="L7"/>
  <c r="M7"/>
  <c r="N7"/>
  <c r="O7"/>
  <c r="P7"/>
  <c r="J8"/>
  <c r="K8"/>
  <c r="L8"/>
  <c r="M8"/>
  <c r="N8"/>
  <c r="O8"/>
  <c r="P8"/>
  <c r="J9"/>
  <c r="K9"/>
  <c r="L9"/>
  <c r="M9"/>
  <c r="N9"/>
  <c r="O9"/>
  <c r="P9"/>
  <c r="J10"/>
  <c r="K10"/>
  <c r="L10"/>
  <c r="M10"/>
  <c r="N10"/>
  <c r="O10"/>
  <c r="P10"/>
  <c r="J11"/>
  <c r="K11"/>
  <c r="L11"/>
  <c r="M11"/>
  <c r="N11"/>
  <c r="O11"/>
  <c r="P11"/>
  <c r="J12"/>
  <c r="K12"/>
  <c r="L12"/>
  <c r="M12"/>
  <c r="N12"/>
  <c r="O12"/>
  <c r="P12"/>
  <c r="J13"/>
  <c r="K13"/>
  <c r="L13"/>
  <c r="M13"/>
  <c r="N13"/>
  <c r="O13"/>
  <c r="P13"/>
  <c r="J14"/>
  <c r="K14"/>
  <c r="L14"/>
  <c r="M14"/>
  <c r="N14"/>
  <c r="O14"/>
  <c r="P14"/>
  <c r="J15"/>
  <c r="K15"/>
  <c r="L15"/>
  <c r="M15"/>
  <c r="N15"/>
  <c r="O15"/>
  <c r="P15"/>
  <c r="J16"/>
  <c r="K16"/>
  <c r="L16"/>
  <c r="M16"/>
  <c r="N16"/>
  <c r="O16"/>
  <c r="P16"/>
  <c r="J17"/>
  <c r="K17"/>
  <c r="L17"/>
  <c r="M17"/>
  <c r="N17"/>
  <c r="O17"/>
  <c r="P17"/>
  <c r="C18"/>
  <c r="D18"/>
  <c r="E18"/>
  <c r="F18"/>
  <c r="G18"/>
  <c r="H18"/>
  <c r="I18"/>
  <c r="J18"/>
  <c r="K18"/>
  <c r="L18"/>
  <c r="M18"/>
  <c r="N18"/>
  <c r="O18"/>
  <c r="P18"/>
  <c r="J20"/>
  <c r="K20"/>
  <c r="L20"/>
  <c r="M20"/>
  <c r="N20"/>
  <c r="O20"/>
  <c r="P20"/>
  <c r="J21"/>
  <c r="K21"/>
  <c r="L21"/>
  <c r="M21"/>
  <c r="N21"/>
  <c r="O21"/>
  <c r="P21"/>
  <c r="J22"/>
  <c r="K22"/>
  <c r="L22"/>
  <c r="M22"/>
  <c r="N22"/>
  <c r="O22"/>
  <c r="P22"/>
  <c r="J23"/>
  <c r="K23"/>
  <c r="L23"/>
  <c r="M23"/>
  <c r="N23"/>
  <c r="O23"/>
  <c r="P23"/>
  <c r="J24"/>
  <c r="K24"/>
  <c r="L24"/>
  <c r="M24"/>
  <c r="N24"/>
  <c r="O24"/>
  <c r="P24"/>
  <c r="J25"/>
  <c r="K25"/>
  <c r="L25"/>
  <c r="M25"/>
  <c r="N25"/>
  <c r="O25"/>
  <c r="P25"/>
  <c r="J26"/>
  <c r="K26"/>
  <c r="L26"/>
  <c r="M26"/>
  <c r="N26"/>
  <c r="O26"/>
  <c r="P26"/>
  <c r="C27"/>
  <c r="D27"/>
  <c r="J27"/>
  <c r="K27"/>
  <c r="L27"/>
  <c r="M27"/>
  <c r="N27"/>
  <c r="O27"/>
  <c r="P27"/>
  <c r="J28"/>
  <c r="K28"/>
  <c r="L28"/>
  <c r="M28"/>
  <c r="N28"/>
  <c r="O28"/>
  <c r="P28"/>
  <c r="J29"/>
  <c r="K29"/>
  <c r="L29"/>
  <c r="M29"/>
  <c r="N29"/>
  <c r="O29"/>
  <c r="P29"/>
  <c r="J30"/>
  <c r="K30"/>
  <c r="L30"/>
  <c r="M30"/>
  <c r="N30"/>
  <c r="O30"/>
  <c r="P30"/>
  <c r="J31"/>
  <c r="K31"/>
  <c r="L31"/>
  <c r="M31"/>
  <c r="N31"/>
  <c r="O31"/>
  <c r="P31"/>
  <c r="J32"/>
  <c r="K32"/>
  <c r="L32"/>
  <c r="M32"/>
  <c r="N32"/>
  <c r="O32"/>
  <c r="P32"/>
  <c r="J33"/>
  <c r="K33"/>
  <c r="L33"/>
  <c r="M33"/>
  <c r="N33"/>
  <c r="O33"/>
  <c r="P33"/>
  <c r="J34"/>
  <c r="K34"/>
  <c r="L34"/>
  <c r="M34"/>
  <c r="N34"/>
  <c r="O34"/>
  <c r="P34"/>
  <c r="J35"/>
  <c r="K35"/>
  <c r="L35"/>
  <c r="M35"/>
  <c r="N35"/>
  <c r="O35"/>
  <c r="P35"/>
  <c r="J36"/>
  <c r="K36"/>
  <c r="L36"/>
  <c r="M36"/>
  <c r="N36"/>
  <c r="O36"/>
  <c r="P36"/>
  <c r="C37"/>
  <c r="D37"/>
  <c r="E37"/>
  <c r="F37"/>
  <c r="G37"/>
  <c r="H37"/>
  <c r="I37"/>
  <c r="J37"/>
  <c r="K37"/>
  <c r="L37"/>
  <c r="M37"/>
  <c r="N37"/>
  <c r="O37"/>
  <c r="P37"/>
  <c r="C38"/>
  <c r="D38"/>
  <c r="E38"/>
  <c r="F38"/>
  <c r="G38"/>
  <c r="H38"/>
  <c r="I38"/>
  <c r="J38"/>
  <c r="K38"/>
  <c r="L38"/>
  <c r="M38"/>
  <c r="N38"/>
  <c r="O38"/>
  <c r="P38"/>
  <c r="J40"/>
  <c r="K40"/>
  <c r="L40"/>
  <c r="M40"/>
  <c r="N40"/>
  <c r="O40"/>
  <c r="P40"/>
  <c r="J41"/>
  <c r="K41"/>
  <c r="L41"/>
  <c r="M41"/>
  <c r="N41"/>
  <c r="O41"/>
  <c r="P41"/>
  <c r="C42"/>
  <c r="D42"/>
  <c r="E42"/>
  <c r="F42"/>
  <c r="G42"/>
  <c r="H42"/>
  <c r="I42"/>
  <c r="J42"/>
  <c r="K42"/>
  <c r="L42"/>
  <c r="M42"/>
  <c r="N42"/>
  <c r="O42"/>
  <c r="P42"/>
  <c r="C43"/>
  <c r="D43"/>
  <c r="E43"/>
  <c r="F43"/>
  <c r="G43"/>
  <c r="H43"/>
  <c r="I43"/>
  <c r="J43"/>
  <c r="K43"/>
  <c r="L43"/>
  <c r="M43"/>
  <c r="N43"/>
  <c r="O43"/>
  <c r="P43"/>
  <c r="D6" i="42"/>
  <c r="E6"/>
  <c r="F6"/>
  <c r="G6"/>
  <c r="H6"/>
  <c r="I6"/>
  <c r="J6"/>
  <c r="R6"/>
  <c r="S6"/>
  <c r="T6"/>
  <c r="U6"/>
  <c r="V6"/>
  <c r="W6"/>
  <c r="X6"/>
  <c r="D7"/>
  <c r="E7"/>
  <c r="F7"/>
  <c r="G7"/>
  <c r="H7"/>
  <c r="I7"/>
  <c r="J7"/>
  <c r="R7"/>
  <c r="S7"/>
  <c r="T7"/>
  <c r="U7"/>
  <c r="V7"/>
  <c r="W7"/>
  <c r="X7"/>
  <c r="D8"/>
  <c r="E8"/>
  <c r="F8"/>
  <c r="G8"/>
  <c r="H8"/>
  <c r="I8"/>
  <c r="J8"/>
  <c r="R8"/>
  <c r="S8"/>
  <c r="T8"/>
  <c r="U8"/>
  <c r="V8"/>
  <c r="W8"/>
  <c r="X8"/>
  <c r="D9"/>
  <c r="E9"/>
  <c r="F9"/>
  <c r="G9"/>
  <c r="H9"/>
  <c r="I9"/>
  <c r="J9"/>
  <c r="R9"/>
  <c r="S9"/>
  <c r="T9"/>
  <c r="U9"/>
  <c r="V9"/>
  <c r="W9"/>
  <c r="X9"/>
  <c r="D10"/>
  <c r="E10"/>
  <c r="F10"/>
  <c r="G10"/>
  <c r="H10"/>
  <c r="I10"/>
  <c r="J10"/>
  <c r="Q10"/>
  <c r="R10"/>
  <c r="S10"/>
  <c r="T10"/>
  <c r="U10"/>
  <c r="V10"/>
  <c r="W10"/>
  <c r="X10"/>
  <c r="D11"/>
  <c r="E11"/>
  <c r="F11"/>
  <c r="G11"/>
  <c r="H11"/>
  <c r="I11"/>
  <c r="J11"/>
  <c r="R11"/>
  <c r="S11"/>
  <c r="T11"/>
  <c r="U11"/>
  <c r="V11"/>
  <c r="W11"/>
  <c r="X11"/>
  <c r="D12"/>
  <c r="E12"/>
  <c r="F12"/>
  <c r="G12"/>
  <c r="H12"/>
  <c r="I12"/>
  <c r="J12"/>
  <c r="Q12"/>
  <c r="R12"/>
  <c r="S12"/>
  <c r="T12"/>
  <c r="U12"/>
  <c r="V12"/>
  <c r="W12"/>
  <c r="X12"/>
  <c r="D13"/>
  <c r="E13"/>
  <c r="F13"/>
  <c r="G13"/>
  <c r="H13"/>
  <c r="I13"/>
  <c r="J13"/>
  <c r="Q13"/>
  <c r="R13"/>
  <c r="S13"/>
  <c r="T13"/>
  <c r="U13"/>
  <c r="V13"/>
  <c r="W13"/>
  <c r="X13"/>
  <c r="D14"/>
  <c r="E14"/>
  <c r="F14"/>
  <c r="G14"/>
  <c r="H14"/>
  <c r="I14"/>
  <c r="J14"/>
  <c r="Q14"/>
  <c r="R14"/>
  <c r="S14"/>
  <c r="T14"/>
  <c r="U14"/>
  <c r="V14"/>
  <c r="W14"/>
  <c r="X14"/>
  <c r="D15"/>
  <c r="E15"/>
  <c r="F15"/>
  <c r="G15"/>
  <c r="H15"/>
  <c r="I15"/>
  <c r="J15"/>
  <c r="Q15"/>
  <c r="R15"/>
  <c r="S15"/>
  <c r="T15"/>
  <c r="U15"/>
  <c r="V15"/>
  <c r="W15"/>
  <c r="X15"/>
  <c r="D16"/>
  <c r="E16"/>
  <c r="F16"/>
  <c r="G16"/>
  <c r="H16"/>
  <c r="I16"/>
  <c r="J16"/>
  <c r="R16"/>
  <c r="S16"/>
  <c r="T16"/>
  <c r="U16"/>
  <c r="V16"/>
  <c r="W16"/>
  <c r="X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D19"/>
  <c r="E19"/>
  <c r="F19"/>
  <c r="G19"/>
  <c r="H19"/>
  <c r="I19"/>
  <c r="J19"/>
  <c r="R19"/>
  <c r="S19"/>
  <c r="T19"/>
  <c r="U19"/>
  <c r="V19"/>
  <c r="W19"/>
  <c r="X19"/>
  <c r="D20"/>
  <c r="E20"/>
  <c r="F20"/>
  <c r="G20"/>
  <c r="H20"/>
  <c r="I20"/>
  <c r="J20"/>
  <c r="R20"/>
  <c r="S20"/>
  <c r="T20"/>
  <c r="U20"/>
  <c r="V20"/>
  <c r="W20"/>
  <c r="X20"/>
  <c r="D21"/>
  <c r="E21"/>
  <c r="F21"/>
  <c r="G21"/>
  <c r="H21"/>
  <c r="I21"/>
  <c r="J21"/>
  <c r="R21"/>
  <c r="S21"/>
  <c r="T21"/>
  <c r="U21"/>
  <c r="V21"/>
  <c r="W21"/>
  <c r="X21"/>
  <c r="D22"/>
  <c r="E22"/>
  <c r="F22"/>
  <c r="G22"/>
  <c r="H22"/>
  <c r="I22"/>
  <c r="J22"/>
  <c r="Q22"/>
  <c r="R22"/>
  <c r="S22"/>
  <c r="T22"/>
  <c r="U22"/>
  <c r="V22"/>
  <c r="W22"/>
  <c r="X22"/>
  <c r="D23"/>
  <c r="E23"/>
  <c r="F23"/>
  <c r="G23"/>
  <c r="H23"/>
  <c r="I23"/>
  <c r="J23"/>
  <c r="Q23"/>
  <c r="R23"/>
  <c r="S23"/>
  <c r="T23"/>
  <c r="U23"/>
  <c r="V23"/>
  <c r="W23"/>
  <c r="X23"/>
  <c r="D24"/>
  <c r="E24"/>
  <c r="F24"/>
  <c r="G24"/>
  <c r="H24"/>
  <c r="I24"/>
  <c r="J24"/>
  <c r="R24"/>
  <c r="S24"/>
  <c r="T24"/>
  <c r="U24"/>
  <c r="V24"/>
  <c r="W24"/>
  <c r="X24"/>
  <c r="D25"/>
  <c r="E25"/>
  <c r="F25"/>
  <c r="G25"/>
  <c r="H25"/>
  <c r="I25"/>
  <c r="J25"/>
  <c r="R25"/>
  <c r="S25"/>
  <c r="T25"/>
  <c r="U25"/>
  <c r="V25"/>
  <c r="W25"/>
  <c r="X25"/>
  <c r="D26"/>
  <c r="E26"/>
  <c r="F26"/>
  <c r="G26"/>
  <c r="H26"/>
  <c r="I26"/>
  <c r="J26"/>
  <c r="R26"/>
  <c r="S26"/>
  <c r="T26"/>
  <c r="U26"/>
  <c r="V26"/>
  <c r="W26"/>
  <c r="X26"/>
  <c r="D27"/>
  <c r="E27"/>
  <c r="F27"/>
  <c r="G27"/>
  <c r="H27"/>
  <c r="I27"/>
  <c r="J27"/>
  <c r="Q27"/>
  <c r="R27"/>
  <c r="S27"/>
  <c r="T27"/>
  <c r="U27"/>
  <c r="V27"/>
  <c r="W27"/>
  <c r="X27"/>
  <c r="D28"/>
  <c r="E28"/>
  <c r="F28"/>
  <c r="G28"/>
  <c r="H28"/>
  <c r="I28"/>
  <c r="J28"/>
  <c r="R28"/>
  <c r="S28"/>
  <c r="T28"/>
  <c r="U28"/>
  <c r="V28"/>
  <c r="W28"/>
  <c r="X28"/>
  <c r="D29"/>
  <c r="E29"/>
  <c r="F29"/>
  <c r="G29"/>
  <c r="H29"/>
  <c r="I29"/>
  <c r="J29"/>
  <c r="Q29"/>
  <c r="R29"/>
  <c r="S29"/>
  <c r="T29"/>
  <c r="U29"/>
  <c r="V29"/>
  <c r="W29"/>
  <c r="X29"/>
  <c r="D30"/>
  <c r="E30"/>
  <c r="F30"/>
  <c r="G30"/>
  <c r="H30"/>
  <c r="I30"/>
  <c r="J30"/>
  <c r="R30"/>
  <c r="S30"/>
  <c r="T30"/>
  <c r="U30"/>
  <c r="V30"/>
  <c r="W30"/>
  <c r="X30"/>
  <c r="D31"/>
  <c r="E31"/>
  <c r="F31"/>
  <c r="G31"/>
  <c r="H31"/>
  <c r="I31"/>
  <c r="J31"/>
  <c r="R31"/>
  <c r="S31"/>
  <c r="T31"/>
  <c r="U31"/>
  <c r="V31"/>
  <c r="W31"/>
  <c r="X31"/>
  <c r="D32"/>
  <c r="E32"/>
  <c r="F32"/>
  <c r="G32"/>
  <c r="H32"/>
  <c r="I32"/>
  <c r="J32"/>
  <c r="R32"/>
  <c r="S32"/>
  <c r="T32"/>
  <c r="U32"/>
  <c r="V32"/>
  <c r="W32"/>
  <c r="X32"/>
  <c r="D33"/>
  <c r="E33"/>
  <c r="F33"/>
  <c r="G33"/>
  <c r="H33"/>
  <c r="I33"/>
  <c r="J33"/>
  <c r="R33"/>
  <c r="S33"/>
  <c r="T33"/>
  <c r="U33"/>
  <c r="V33"/>
  <c r="W33"/>
  <c r="X33"/>
  <c r="D34"/>
  <c r="E34"/>
  <c r="F34"/>
  <c r="G34"/>
  <c r="H34"/>
  <c r="I34"/>
  <c r="J34"/>
  <c r="R34"/>
  <c r="S34"/>
  <c r="T34"/>
  <c r="U34"/>
  <c r="V34"/>
  <c r="W34"/>
  <c r="X34"/>
  <c r="D35"/>
  <c r="E35"/>
  <c r="F35"/>
  <c r="G35"/>
  <c r="H35"/>
  <c r="I35"/>
  <c r="J35"/>
  <c r="R35"/>
  <c r="S35"/>
  <c r="T35"/>
  <c r="U35"/>
  <c r="V35"/>
  <c r="W35"/>
  <c r="X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X38"/>
  <c r="D39"/>
  <c r="E39"/>
  <c r="F39"/>
  <c r="G39"/>
  <c r="H39"/>
  <c r="I39"/>
  <c r="J39"/>
  <c r="R39"/>
  <c r="S39"/>
  <c r="T39"/>
  <c r="U39"/>
  <c r="V39"/>
  <c r="W39"/>
  <c r="X39"/>
  <c r="D40"/>
  <c r="E40"/>
  <c r="F40"/>
  <c r="G40"/>
  <c r="H40"/>
  <c r="I40"/>
  <c r="J40"/>
  <c r="R40"/>
  <c r="S40"/>
  <c r="T40"/>
  <c r="U40"/>
  <c r="V40"/>
  <c r="W40"/>
  <c r="X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J6" i="43"/>
  <c r="K6"/>
  <c r="L6"/>
  <c r="M6"/>
  <c r="N6"/>
  <c r="O6"/>
  <c r="P6"/>
  <c r="J7"/>
  <c r="K7"/>
  <c r="L7"/>
  <c r="M7"/>
  <c r="N7"/>
  <c r="O7"/>
  <c r="P7"/>
  <c r="J8"/>
  <c r="K8"/>
  <c r="L8"/>
  <c r="M8"/>
  <c r="N8"/>
  <c r="O8"/>
  <c r="P8"/>
  <c r="J9"/>
  <c r="K9"/>
  <c r="L9"/>
  <c r="M9"/>
  <c r="N9"/>
  <c r="O9"/>
  <c r="P9"/>
  <c r="J10"/>
  <c r="K10"/>
  <c r="L10"/>
  <c r="M10"/>
  <c r="N10"/>
  <c r="O10"/>
  <c r="P10"/>
  <c r="J11"/>
  <c r="K11"/>
  <c r="L11"/>
  <c r="M11"/>
  <c r="N11"/>
  <c r="O11"/>
  <c r="P11"/>
  <c r="J12"/>
  <c r="K12"/>
  <c r="L12"/>
  <c r="M12"/>
  <c r="N12"/>
  <c r="O12"/>
  <c r="P12"/>
  <c r="J13"/>
  <c r="K13"/>
  <c r="L13"/>
  <c r="M13"/>
  <c r="N13"/>
  <c r="O13"/>
  <c r="P13"/>
  <c r="J14"/>
  <c r="K14"/>
  <c r="L14"/>
  <c r="M14"/>
  <c r="N14"/>
  <c r="O14"/>
  <c r="P14"/>
  <c r="J15"/>
  <c r="K15"/>
  <c r="L15"/>
  <c r="M15"/>
  <c r="N15"/>
  <c r="O15"/>
  <c r="P15"/>
  <c r="J16"/>
  <c r="K16"/>
  <c r="L16"/>
  <c r="M16"/>
  <c r="N16"/>
  <c r="O16"/>
  <c r="P16"/>
  <c r="C17"/>
  <c r="D17"/>
  <c r="E17"/>
  <c r="F17"/>
  <c r="G17"/>
  <c r="H17"/>
  <c r="I17"/>
  <c r="J17"/>
  <c r="K17"/>
  <c r="L17"/>
  <c r="M17"/>
  <c r="N17"/>
  <c r="O17"/>
  <c r="P17"/>
  <c r="J19"/>
  <c r="K19"/>
  <c r="L19"/>
  <c r="M19"/>
  <c r="N19"/>
  <c r="O19"/>
  <c r="P19"/>
  <c r="J20"/>
  <c r="K20"/>
  <c r="L20"/>
  <c r="M20"/>
  <c r="N20"/>
  <c r="O20"/>
  <c r="P20"/>
  <c r="J21"/>
  <c r="K21"/>
  <c r="L21"/>
  <c r="M21"/>
  <c r="N21"/>
  <c r="O21"/>
  <c r="P21"/>
  <c r="J22"/>
  <c r="K22"/>
  <c r="L22"/>
  <c r="M22"/>
  <c r="N22"/>
  <c r="O22"/>
  <c r="P22"/>
  <c r="J23"/>
  <c r="K23"/>
  <c r="L23"/>
  <c r="M23"/>
  <c r="N23"/>
  <c r="O23"/>
  <c r="P23"/>
  <c r="J24"/>
  <c r="K24"/>
  <c r="L24"/>
  <c r="M24"/>
  <c r="N24"/>
  <c r="O24"/>
  <c r="P24"/>
  <c r="J25"/>
  <c r="K25"/>
  <c r="L25"/>
  <c r="M25"/>
  <c r="N25"/>
  <c r="O25"/>
  <c r="P25"/>
  <c r="J26"/>
  <c r="K26"/>
  <c r="L26"/>
  <c r="M26"/>
  <c r="N26"/>
  <c r="O26"/>
  <c r="P26"/>
  <c r="J27"/>
  <c r="K27"/>
  <c r="L27"/>
  <c r="M27"/>
  <c r="N27"/>
  <c r="O27"/>
  <c r="P27"/>
  <c r="J28"/>
  <c r="K28"/>
  <c r="L28"/>
  <c r="M28"/>
  <c r="N28"/>
  <c r="O28"/>
  <c r="P28"/>
  <c r="J29"/>
  <c r="K29"/>
  <c r="L29"/>
  <c r="M29"/>
  <c r="N29"/>
  <c r="O29"/>
  <c r="P29"/>
  <c r="J30"/>
  <c r="K30"/>
  <c r="L30"/>
  <c r="M30"/>
  <c r="N30"/>
  <c r="O30"/>
  <c r="P30"/>
  <c r="J31"/>
  <c r="K31"/>
  <c r="L31"/>
  <c r="M31"/>
  <c r="N31"/>
  <c r="O31"/>
  <c r="P31"/>
  <c r="J32"/>
  <c r="K32"/>
  <c r="L32"/>
  <c r="M32"/>
  <c r="N32"/>
  <c r="O32"/>
  <c r="P32"/>
  <c r="J33"/>
  <c r="K33"/>
  <c r="L33"/>
  <c r="M33"/>
  <c r="N33"/>
  <c r="O33"/>
  <c r="P33"/>
  <c r="J34"/>
  <c r="K34"/>
  <c r="L34"/>
  <c r="M34"/>
  <c r="N34"/>
  <c r="O34"/>
  <c r="P34"/>
  <c r="J35"/>
  <c r="K35"/>
  <c r="L35"/>
  <c r="M35"/>
  <c r="N35"/>
  <c r="O35"/>
  <c r="P35"/>
  <c r="C36"/>
  <c r="D36"/>
  <c r="E36"/>
  <c r="F36"/>
  <c r="G36"/>
  <c r="H36"/>
  <c r="I36"/>
  <c r="J36"/>
  <c r="K36"/>
  <c r="L36"/>
  <c r="M36"/>
  <c r="N36"/>
  <c r="O36"/>
  <c r="P36"/>
  <c r="C37"/>
  <c r="D37"/>
  <c r="E37"/>
  <c r="F37"/>
  <c r="G37"/>
  <c r="H37"/>
  <c r="I37"/>
  <c r="J37"/>
  <c r="K37"/>
  <c r="L37"/>
  <c r="M37"/>
  <c r="N37"/>
  <c r="O37"/>
  <c r="P37"/>
  <c r="J39"/>
  <c r="K39"/>
  <c r="L39"/>
  <c r="M39"/>
  <c r="N39"/>
  <c r="O39"/>
  <c r="P39"/>
  <c r="F40"/>
  <c r="G40"/>
  <c r="J40"/>
  <c r="K40"/>
  <c r="L40"/>
  <c r="M40"/>
  <c r="N40"/>
  <c r="O40"/>
  <c r="P40"/>
  <c r="C41"/>
  <c r="D41"/>
  <c r="E41"/>
  <c r="F41"/>
  <c r="G41"/>
  <c r="H41"/>
  <c r="I41"/>
  <c r="J41"/>
  <c r="K41"/>
  <c r="L41"/>
  <c r="M41"/>
  <c r="N41"/>
  <c r="O41"/>
  <c r="P41"/>
  <c r="C42"/>
  <c r="D42"/>
  <c r="E42"/>
  <c r="F42"/>
  <c r="G42"/>
  <c r="H42"/>
  <c r="I42"/>
  <c r="J42"/>
  <c r="K42"/>
  <c r="L42"/>
  <c r="M42"/>
  <c r="N42"/>
  <c r="O42"/>
  <c r="P42"/>
  <c r="C6" i="44"/>
  <c r="D6"/>
  <c r="E6"/>
  <c r="F6"/>
  <c r="G6"/>
  <c r="H6"/>
  <c r="I6"/>
  <c r="J6"/>
  <c r="K6"/>
  <c r="L6"/>
  <c r="M6"/>
  <c r="N6"/>
  <c r="O6"/>
  <c r="P6"/>
  <c r="C7"/>
  <c r="D7"/>
  <c r="E7"/>
  <c r="F7"/>
  <c r="G7"/>
  <c r="H7"/>
  <c r="I7"/>
  <c r="J7"/>
  <c r="K7"/>
  <c r="L7"/>
  <c r="M7"/>
  <c r="N7"/>
  <c r="O7"/>
  <c r="P7"/>
  <c r="C8"/>
  <c r="D8"/>
  <c r="E8"/>
  <c r="F8"/>
  <c r="G8"/>
  <c r="H8"/>
  <c r="I8"/>
  <c r="J8"/>
  <c r="K8"/>
  <c r="L8"/>
  <c r="M8"/>
  <c r="N8"/>
  <c r="O8"/>
  <c r="P8"/>
  <c r="C9"/>
  <c r="D9"/>
  <c r="E9"/>
  <c r="F9"/>
  <c r="G9"/>
  <c r="H9"/>
  <c r="I9"/>
  <c r="J9"/>
  <c r="K9"/>
  <c r="L9"/>
  <c r="M9"/>
  <c r="N9"/>
  <c r="O9"/>
  <c r="P9"/>
  <c r="C10"/>
  <c r="D10"/>
  <c r="E10"/>
  <c r="F10"/>
  <c r="G10"/>
  <c r="H10"/>
  <c r="I10"/>
  <c r="J10"/>
  <c r="K10"/>
  <c r="L10"/>
  <c r="M10"/>
  <c r="N10"/>
  <c r="O10"/>
  <c r="P10"/>
  <c r="C11"/>
  <c r="D11"/>
  <c r="E11"/>
  <c r="F11"/>
  <c r="G11"/>
  <c r="H11"/>
  <c r="I11"/>
  <c r="J11"/>
  <c r="K11"/>
  <c r="L11"/>
  <c r="M11"/>
  <c r="N11"/>
  <c r="O11"/>
  <c r="P11"/>
  <c r="C12"/>
  <c r="D12"/>
  <c r="E12"/>
  <c r="F12"/>
  <c r="G12"/>
  <c r="H12"/>
  <c r="I12"/>
  <c r="J12"/>
  <c r="K12"/>
  <c r="L12"/>
  <c r="M12"/>
  <c r="N12"/>
  <c r="O12"/>
  <c r="P12"/>
  <c r="C13"/>
  <c r="D13"/>
  <c r="E13"/>
  <c r="F13"/>
  <c r="G13"/>
  <c r="H13"/>
  <c r="I13"/>
  <c r="J13"/>
  <c r="K13"/>
  <c r="L13"/>
  <c r="M13"/>
  <c r="N13"/>
  <c r="O13"/>
  <c r="P13"/>
  <c r="C14"/>
  <c r="D14"/>
  <c r="E14"/>
  <c r="F14"/>
  <c r="G14"/>
  <c r="H14"/>
  <c r="I14"/>
  <c r="J14"/>
  <c r="K14"/>
  <c r="L14"/>
  <c r="M14"/>
  <c r="N14"/>
  <c r="O14"/>
  <c r="P14"/>
  <c r="C15"/>
  <c r="D15"/>
  <c r="E15"/>
  <c r="F15"/>
  <c r="G15"/>
  <c r="H15"/>
  <c r="I15"/>
  <c r="J15"/>
  <c r="K15"/>
  <c r="L15"/>
  <c r="M15"/>
  <c r="N15"/>
  <c r="O15"/>
  <c r="P15"/>
  <c r="C16"/>
  <c r="D16"/>
  <c r="E16"/>
  <c r="F16"/>
  <c r="G16"/>
  <c r="H16"/>
  <c r="I16"/>
  <c r="J16"/>
  <c r="K16"/>
  <c r="L16"/>
  <c r="M16"/>
  <c r="N16"/>
  <c r="O16"/>
  <c r="P16"/>
  <c r="C17"/>
  <c r="D17"/>
  <c r="E17"/>
  <c r="F17"/>
  <c r="G17"/>
  <c r="H17"/>
  <c r="I17"/>
  <c r="J17"/>
  <c r="K17"/>
  <c r="L17"/>
  <c r="M17"/>
  <c r="N17"/>
  <c r="O17"/>
  <c r="P17"/>
  <c r="C19"/>
  <c r="D19"/>
  <c r="E19"/>
  <c r="F19"/>
  <c r="G19"/>
  <c r="H19"/>
  <c r="I19"/>
  <c r="J19"/>
  <c r="K19"/>
  <c r="L19"/>
  <c r="M19"/>
  <c r="N19"/>
  <c r="O19"/>
  <c r="P19"/>
  <c r="C20"/>
  <c r="D20"/>
  <c r="E20"/>
  <c r="F20"/>
  <c r="G20"/>
  <c r="H20"/>
  <c r="I20"/>
  <c r="J20"/>
  <c r="K20"/>
  <c r="L20"/>
  <c r="M20"/>
  <c r="N20"/>
  <c r="O20"/>
  <c r="P20"/>
  <c r="C21"/>
  <c r="D21"/>
  <c r="E21"/>
  <c r="F21"/>
  <c r="G21"/>
  <c r="H21"/>
  <c r="I21"/>
  <c r="J21"/>
  <c r="K21"/>
  <c r="L21"/>
  <c r="M21"/>
  <c r="N21"/>
  <c r="O21"/>
  <c r="P21"/>
  <c r="C22"/>
  <c r="D22"/>
  <c r="E22"/>
  <c r="F22"/>
  <c r="G22"/>
  <c r="H22"/>
  <c r="I22"/>
  <c r="J22"/>
  <c r="K22"/>
  <c r="L22"/>
  <c r="M22"/>
  <c r="N22"/>
  <c r="O22"/>
  <c r="P22"/>
  <c r="C23"/>
  <c r="D23"/>
  <c r="E23"/>
  <c r="F23"/>
  <c r="G23"/>
  <c r="H23"/>
  <c r="I23"/>
  <c r="J23"/>
  <c r="K23"/>
  <c r="L23"/>
  <c r="M23"/>
  <c r="N23"/>
  <c r="O23"/>
  <c r="P23"/>
  <c r="C24"/>
  <c r="D24"/>
  <c r="E24"/>
  <c r="F24"/>
  <c r="G24"/>
  <c r="H24"/>
  <c r="I24"/>
  <c r="J24"/>
  <c r="K24"/>
  <c r="L24"/>
  <c r="M24"/>
  <c r="N24"/>
  <c r="O24"/>
  <c r="P24"/>
  <c r="C25"/>
  <c r="D25"/>
  <c r="E25"/>
  <c r="F25"/>
  <c r="G25"/>
  <c r="H25"/>
  <c r="I25"/>
  <c r="J25"/>
  <c r="K25"/>
  <c r="L25"/>
  <c r="M25"/>
  <c r="N25"/>
  <c r="O25"/>
  <c r="P25"/>
  <c r="C26"/>
  <c r="D26"/>
  <c r="E26"/>
  <c r="F26"/>
  <c r="G26"/>
  <c r="H26"/>
  <c r="I26"/>
  <c r="J26"/>
  <c r="K26"/>
  <c r="L26"/>
  <c r="M26"/>
  <c r="N26"/>
  <c r="O26"/>
  <c r="P26"/>
  <c r="C27"/>
  <c r="D27"/>
  <c r="E27"/>
  <c r="F27"/>
  <c r="G27"/>
  <c r="H27"/>
  <c r="I27"/>
  <c r="J27"/>
  <c r="K27"/>
  <c r="L27"/>
  <c r="M27"/>
  <c r="N27"/>
  <c r="O27"/>
  <c r="P27"/>
  <c r="C28"/>
  <c r="D28"/>
  <c r="E28"/>
  <c r="F28"/>
  <c r="G28"/>
  <c r="H28"/>
  <c r="I28"/>
  <c r="J28"/>
  <c r="K28"/>
  <c r="L28"/>
  <c r="M28"/>
  <c r="N28"/>
  <c r="O28"/>
  <c r="P28"/>
  <c r="C29"/>
  <c r="D29"/>
  <c r="E29"/>
  <c r="F29"/>
  <c r="G29"/>
  <c r="H29"/>
  <c r="I29"/>
  <c r="J29"/>
  <c r="K29"/>
  <c r="L29"/>
  <c r="M29"/>
  <c r="N29"/>
  <c r="O29"/>
  <c r="P29"/>
  <c r="C30"/>
  <c r="D30"/>
  <c r="E30"/>
  <c r="F30"/>
  <c r="G30"/>
  <c r="H30"/>
  <c r="I30"/>
  <c r="J30"/>
  <c r="K30"/>
  <c r="L30"/>
  <c r="M30"/>
  <c r="N30"/>
  <c r="O30"/>
  <c r="P30"/>
  <c r="C31"/>
  <c r="D31"/>
  <c r="E31"/>
  <c r="F31"/>
  <c r="G31"/>
  <c r="H31"/>
  <c r="I31"/>
  <c r="J31"/>
  <c r="K31"/>
  <c r="L31"/>
  <c r="M31"/>
  <c r="N31"/>
  <c r="O31"/>
  <c r="P31"/>
  <c r="C32"/>
  <c r="D32"/>
  <c r="E32"/>
  <c r="F32"/>
  <c r="G32"/>
  <c r="H32"/>
  <c r="I32"/>
  <c r="J32"/>
  <c r="K32"/>
  <c r="L32"/>
  <c r="M32"/>
  <c r="N32"/>
  <c r="O32"/>
  <c r="P32"/>
  <c r="C33"/>
  <c r="D33"/>
  <c r="E33"/>
  <c r="F33"/>
  <c r="G33"/>
  <c r="H33"/>
  <c r="I33"/>
  <c r="J33"/>
  <c r="K33"/>
  <c r="L33"/>
  <c r="M33"/>
  <c r="N33"/>
  <c r="O33"/>
  <c r="P33"/>
  <c r="C34"/>
  <c r="D34"/>
  <c r="E34"/>
  <c r="F34"/>
  <c r="G34"/>
  <c r="H34"/>
  <c r="I34"/>
  <c r="J34"/>
  <c r="K34"/>
  <c r="L34"/>
  <c r="M34"/>
  <c r="N34"/>
  <c r="O34"/>
  <c r="P34"/>
  <c r="C35"/>
  <c r="D35"/>
  <c r="E35"/>
  <c r="F35"/>
  <c r="G35"/>
  <c r="H35"/>
  <c r="I35"/>
  <c r="J35"/>
  <c r="K35"/>
  <c r="L35"/>
  <c r="M35"/>
  <c r="N35"/>
  <c r="O35"/>
  <c r="P35"/>
  <c r="C36"/>
  <c r="D36"/>
  <c r="E36"/>
  <c r="F36"/>
  <c r="G36"/>
  <c r="H36"/>
  <c r="I36"/>
  <c r="J36"/>
  <c r="K36"/>
  <c r="L36"/>
  <c r="M36"/>
  <c r="N36"/>
  <c r="O36"/>
  <c r="P36"/>
  <c r="C37"/>
  <c r="D37"/>
  <c r="E37"/>
  <c r="F37"/>
  <c r="G37"/>
  <c r="H37"/>
  <c r="I37"/>
  <c r="J37"/>
  <c r="K37"/>
  <c r="L37"/>
  <c r="M37"/>
  <c r="N37"/>
  <c r="O37"/>
  <c r="P37"/>
  <c r="C39"/>
  <c r="D39"/>
  <c r="E39"/>
  <c r="F39"/>
  <c r="G39"/>
  <c r="H39"/>
  <c r="I39"/>
  <c r="J39"/>
  <c r="K39"/>
  <c r="L39"/>
  <c r="M39"/>
  <c r="N39"/>
  <c r="O39"/>
  <c r="P39"/>
  <c r="C40"/>
  <c r="D40"/>
  <c r="E40"/>
  <c r="F40"/>
  <c r="G40"/>
  <c r="H40"/>
  <c r="I40"/>
  <c r="J40"/>
  <c r="K40"/>
  <c r="L40"/>
  <c r="M40"/>
  <c r="N40"/>
  <c r="O40"/>
  <c r="P40"/>
  <c r="C41"/>
  <c r="D41"/>
  <c r="E41"/>
  <c r="F41"/>
  <c r="G41"/>
  <c r="H41"/>
  <c r="I41"/>
  <c r="J41"/>
  <c r="K41"/>
  <c r="L41"/>
  <c r="M41"/>
  <c r="N41"/>
  <c r="O41"/>
  <c r="P41"/>
  <c r="C42"/>
  <c r="D42"/>
  <c r="E42"/>
  <c r="F42"/>
  <c r="G42"/>
  <c r="H42"/>
  <c r="I42"/>
  <c r="J42"/>
  <c r="K42"/>
  <c r="L42"/>
  <c r="M42"/>
  <c r="N42"/>
  <c r="O42"/>
  <c r="P42"/>
  <c r="J7" i="45"/>
  <c r="K7"/>
  <c r="L7"/>
  <c r="M7"/>
  <c r="N7"/>
  <c r="O7"/>
  <c r="P7"/>
  <c r="J8"/>
  <c r="K8"/>
  <c r="L8"/>
  <c r="M8"/>
  <c r="N8"/>
  <c r="O8"/>
  <c r="P8"/>
  <c r="J9"/>
  <c r="K9"/>
  <c r="L9"/>
  <c r="M9"/>
  <c r="N9"/>
  <c r="O9"/>
  <c r="P9"/>
  <c r="J10"/>
  <c r="K10"/>
  <c r="L10"/>
  <c r="M10"/>
  <c r="N10"/>
  <c r="O10"/>
  <c r="P10"/>
  <c r="J11"/>
  <c r="K11"/>
  <c r="L11"/>
  <c r="M11"/>
  <c r="N11"/>
  <c r="O11"/>
  <c r="P11"/>
  <c r="J12"/>
  <c r="K12"/>
  <c r="L12"/>
  <c r="M12"/>
  <c r="N12"/>
  <c r="O12"/>
  <c r="P12"/>
  <c r="J13"/>
  <c r="K13"/>
  <c r="L13"/>
  <c r="M13"/>
  <c r="N13"/>
  <c r="O13"/>
  <c r="P13"/>
  <c r="J14"/>
  <c r="K14"/>
  <c r="L14"/>
  <c r="M14"/>
  <c r="N14"/>
  <c r="O14"/>
  <c r="P14"/>
  <c r="J15"/>
  <c r="K15"/>
  <c r="L15"/>
  <c r="M15"/>
  <c r="N15"/>
  <c r="O15"/>
  <c r="P15"/>
  <c r="J16"/>
  <c r="K16"/>
  <c r="L16"/>
  <c r="M16"/>
  <c r="N16"/>
  <c r="O16"/>
  <c r="P16"/>
  <c r="J17"/>
  <c r="K17"/>
  <c r="L17"/>
  <c r="M17"/>
  <c r="N17"/>
  <c r="O17"/>
  <c r="P17"/>
  <c r="C18"/>
  <c r="D18"/>
  <c r="E18"/>
  <c r="F18"/>
  <c r="G18"/>
  <c r="H18"/>
  <c r="I18"/>
  <c r="J18"/>
  <c r="K18"/>
  <c r="L18"/>
  <c r="M18"/>
  <c r="N18"/>
  <c r="O18"/>
  <c r="P18"/>
  <c r="J20"/>
  <c r="K20"/>
  <c r="L20"/>
  <c r="M20"/>
  <c r="N20"/>
  <c r="O20"/>
  <c r="P20"/>
  <c r="J21"/>
  <c r="K21"/>
  <c r="L21"/>
  <c r="M21"/>
  <c r="N21"/>
  <c r="O21"/>
  <c r="P21"/>
  <c r="J22"/>
  <c r="K22"/>
  <c r="L22"/>
  <c r="M22"/>
  <c r="N22"/>
  <c r="O22"/>
  <c r="P22"/>
  <c r="J23"/>
  <c r="K23"/>
  <c r="L23"/>
  <c r="M23"/>
  <c r="N23"/>
  <c r="O23"/>
  <c r="P23"/>
  <c r="J24"/>
  <c r="K24"/>
  <c r="L24"/>
  <c r="M24"/>
  <c r="N24"/>
  <c r="O24"/>
  <c r="P24"/>
  <c r="J25"/>
  <c r="K25"/>
  <c r="L25"/>
  <c r="M25"/>
  <c r="N25"/>
  <c r="O25"/>
  <c r="P25"/>
  <c r="J26"/>
  <c r="K26"/>
  <c r="L26"/>
  <c r="M26"/>
  <c r="N26"/>
  <c r="O26"/>
  <c r="P26"/>
  <c r="J27"/>
  <c r="K27"/>
  <c r="L27"/>
  <c r="M27"/>
  <c r="N27"/>
  <c r="O27"/>
  <c r="P27"/>
  <c r="J28"/>
  <c r="K28"/>
  <c r="L28"/>
  <c r="M28"/>
  <c r="N28"/>
  <c r="O28"/>
  <c r="P28"/>
  <c r="J29"/>
  <c r="K29"/>
  <c r="L29"/>
  <c r="M29"/>
  <c r="N29"/>
  <c r="O29"/>
  <c r="P29"/>
  <c r="J30"/>
  <c r="K30"/>
  <c r="L30"/>
  <c r="M30"/>
  <c r="N30"/>
  <c r="O30"/>
  <c r="P30"/>
  <c r="J31"/>
  <c r="K31"/>
  <c r="L31"/>
  <c r="M31"/>
  <c r="N31"/>
  <c r="O31"/>
  <c r="P31"/>
  <c r="J32"/>
  <c r="K32"/>
  <c r="L32"/>
  <c r="M32"/>
  <c r="N32"/>
  <c r="O32"/>
  <c r="P32"/>
  <c r="J33"/>
  <c r="K33"/>
  <c r="L33"/>
  <c r="M33"/>
  <c r="N33"/>
  <c r="O33"/>
  <c r="P33"/>
  <c r="J34"/>
  <c r="K34"/>
  <c r="L34"/>
  <c r="M34"/>
  <c r="N34"/>
  <c r="O34"/>
  <c r="P34"/>
  <c r="J35"/>
  <c r="K35"/>
  <c r="L35"/>
  <c r="M35"/>
  <c r="N35"/>
  <c r="O35"/>
  <c r="P35"/>
  <c r="J36"/>
  <c r="K36"/>
  <c r="L36"/>
  <c r="M36"/>
  <c r="N36"/>
  <c r="O36"/>
  <c r="P36"/>
  <c r="C37"/>
  <c r="D37"/>
  <c r="E37"/>
  <c r="F37"/>
  <c r="G37"/>
  <c r="H37"/>
  <c r="I37"/>
  <c r="J37"/>
  <c r="K37"/>
  <c r="L37"/>
  <c r="M37"/>
  <c r="N37"/>
  <c r="O37"/>
  <c r="P37"/>
  <c r="C38"/>
  <c r="D38"/>
  <c r="E38"/>
  <c r="F38"/>
  <c r="G38"/>
  <c r="H38"/>
  <c r="I38"/>
  <c r="J38"/>
  <c r="K38"/>
  <c r="L38"/>
  <c r="M38"/>
  <c r="N38"/>
  <c r="O38"/>
  <c r="P38"/>
  <c r="J40"/>
  <c r="K40"/>
  <c r="L40"/>
  <c r="M40"/>
  <c r="N40"/>
  <c r="O40"/>
  <c r="P40"/>
  <c r="J41"/>
  <c r="K41"/>
  <c r="L41"/>
  <c r="M41"/>
  <c r="N41"/>
  <c r="O41"/>
  <c r="P41"/>
  <c r="C42"/>
  <c r="D42"/>
  <c r="E42"/>
  <c r="F42"/>
  <c r="G42"/>
  <c r="H42"/>
  <c r="I42"/>
  <c r="J42"/>
  <c r="K42"/>
  <c r="L42"/>
  <c r="M42"/>
  <c r="N42"/>
  <c r="O42"/>
  <c r="P42"/>
  <c r="C43"/>
  <c r="D43"/>
  <c r="E43"/>
  <c r="F43"/>
  <c r="G43"/>
  <c r="H43"/>
  <c r="I43"/>
  <c r="J43"/>
  <c r="K43"/>
  <c r="L43"/>
  <c r="M43"/>
  <c r="N43"/>
  <c r="O43"/>
  <c r="P43"/>
  <c r="C7" i="46"/>
  <c r="D7"/>
  <c r="E7"/>
  <c r="F7"/>
  <c r="G7"/>
  <c r="H7"/>
  <c r="I7"/>
  <c r="J7"/>
  <c r="K7"/>
  <c r="L7"/>
  <c r="M7"/>
  <c r="N7"/>
  <c r="O7"/>
  <c r="P7"/>
  <c r="C8"/>
  <c r="D8"/>
  <c r="E8"/>
  <c r="F8"/>
  <c r="G8"/>
  <c r="H8"/>
  <c r="I8"/>
  <c r="J8"/>
  <c r="K8"/>
  <c r="L8"/>
  <c r="M8"/>
  <c r="N8"/>
  <c r="O8"/>
  <c r="P8"/>
  <c r="C9"/>
  <c r="D9"/>
  <c r="E9"/>
  <c r="F9"/>
  <c r="G9"/>
  <c r="H9"/>
  <c r="I9"/>
  <c r="J9"/>
  <c r="K9"/>
  <c r="L9"/>
  <c r="M9"/>
  <c r="N9"/>
  <c r="O9"/>
  <c r="P9"/>
  <c r="C10"/>
  <c r="D10"/>
  <c r="E10"/>
  <c r="F10"/>
  <c r="G10"/>
  <c r="H10"/>
  <c r="I10"/>
  <c r="J10"/>
  <c r="K10"/>
  <c r="L10"/>
  <c r="M10"/>
  <c r="N10"/>
  <c r="O10"/>
  <c r="P10"/>
  <c r="C11"/>
  <c r="D11"/>
  <c r="E11"/>
  <c r="F11"/>
  <c r="G11"/>
  <c r="H11"/>
  <c r="I11"/>
  <c r="J11"/>
  <c r="K11"/>
  <c r="L11"/>
  <c r="M11"/>
  <c r="N11"/>
  <c r="O11"/>
  <c r="P11"/>
  <c r="C12"/>
  <c r="D12"/>
  <c r="E12"/>
  <c r="F12"/>
  <c r="G12"/>
  <c r="H12"/>
  <c r="I12"/>
  <c r="J12"/>
  <c r="K12"/>
  <c r="L12"/>
  <c r="M12"/>
  <c r="N12"/>
  <c r="O12"/>
  <c r="P12"/>
  <c r="C13"/>
  <c r="D13"/>
  <c r="E13"/>
  <c r="F13"/>
  <c r="G13"/>
  <c r="H13"/>
  <c r="I13"/>
  <c r="J13"/>
  <c r="K13"/>
  <c r="L13"/>
  <c r="M13"/>
  <c r="N13"/>
  <c r="O13"/>
  <c r="P13"/>
  <c r="C14"/>
  <c r="D14"/>
  <c r="E14"/>
  <c r="F14"/>
  <c r="G14"/>
  <c r="H14"/>
  <c r="I14"/>
  <c r="J14"/>
  <c r="K14"/>
  <c r="L14"/>
  <c r="M14"/>
  <c r="N14"/>
  <c r="O14"/>
  <c r="P14"/>
  <c r="C15"/>
  <c r="D15"/>
  <c r="E15"/>
  <c r="F15"/>
  <c r="G15"/>
  <c r="H15"/>
  <c r="I15"/>
  <c r="J15"/>
  <c r="K15"/>
  <c r="L15"/>
  <c r="M15"/>
  <c r="N15"/>
  <c r="O15"/>
  <c r="P15"/>
  <c r="C16"/>
  <c r="D16"/>
  <c r="E16"/>
  <c r="F16"/>
  <c r="G16"/>
  <c r="H16"/>
  <c r="I16"/>
  <c r="J16"/>
  <c r="K16"/>
  <c r="L16"/>
  <c r="M16"/>
  <c r="N16"/>
  <c r="O16"/>
  <c r="P16"/>
  <c r="C17"/>
  <c r="D17"/>
  <c r="E17"/>
  <c r="F17"/>
  <c r="G17"/>
  <c r="H17"/>
  <c r="I17"/>
  <c r="J17"/>
  <c r="K17"/>
  <c r="L17"/>
  <c r="M17"/>
  <c r="N17"/>
  <c r="O17"/>
  <c r="P17"/>
  <c r="C18"/>
  <c r="D18"/>
  <c r="E18"/>
  <c r="F18"/>
  <c r="G18"/>
  <c r="H18"/>
  <c r="I18"/>
  <c r="J18"/>
  <c r="K18"/>
  <c r="L18"/>
  <c r="M18"/>
  <c r="N18"/>
  <c r="O18"/>
  <c r="P18"/>
  <c r="C20"/>
  <c r="D20"/>
  <c r="E20"/>
  <c r="F20"/>
  <c r="G20"/>
  <c r="H20"/>
  <c r="I20"/>
  <c r="J20"/>
  <c r="K20"/>
  <c r="L20"/>
  <c r="M20"/>
  <c r="N20"/>
  <c r="O20"/>
  <c r="P20"/>
  <c r="C21"/>
  <c r="D21"/>
  <c r="E21"/>
  <c r="F21"/>
  <c r="G21"/>
  <c r="H21"/>
  <c r="I21"/>
  <c r="J21"/>
  <c r="K21"/>
  <c r="L21"/>
  <c r="M21"/>
  <c r="N21"/>
  <c r="O21"/>
  <c r="P21"/>
  <c r="C22"/>
  <c r="D22"/>
  <c r="E22"/>
  <c r="F22"/>
  <c r="G22"/>
  <c r="H22"/>
  <c r="I22"/>
  <c r="J22"/>
  <c r="K22"/>
  <c r="L22"/>
  <c r="M22"/>
  <c r="N22"/>
  <c r="O22"/>
  <c r="P22"/>
  <c r="C23"/>
  <c r="D23"/>
  <c r="E23"/>
  <c r="F23"/>
  <c r="G23"/>
  <c r="H23"/>
  <c r="I23"/>
  <c r="J23"/>
  <c r="K23"/>
  <c r="L23"/>
  <c r="M23"/>
  <c r="N23"/>
  <c r="O23"/>
  <c r="P23"/>
  <c r="C24"/>
  <c r="D24"/>
  <c r="E24"/>
  <c r="F24"/>
  <c r="G24"/>
  <c r="H24"/>
  <c r="I24"/>
  <c r="J24"/>
  <c r="K24"/>
  <c r="L24"/>
  <c r="M24"/>
  <c r="N24"/>
  <c r="O24"/>
  <c r="P24"/>
  <c r="C25"/>
  <c r="D25"/>
  <c r="E25"/>
  <c r="F25"/>
  <c r="G25"/>
  <c r="H25"/>
  <c r="I25"/>
  <c r="J25"/>
  <c r="K25"/>
  <c r="L25"/>
  <c r="M25"/>
  <c r="N25"/>
  <c r="O25"/>
  <c r="P25"/>
  <c r="C26"/>
  <c r="D26"/>
  <c r="E26"/>
  <c r="F26"/>
  <c r="G26"/>
  <c r="H26"/>
  <c r="I26"/>
  <c r="J26"/>
  <c r="K26"/>
  <c r="L26"/>
  <c r="M26"/>
  <c r="N26"/>
  <c r="O26"/>
  <c r="P26"/>
  <c r="C27"/>
  <c r="D27"/>
  <c r="E27"/>
  <c r="F27"/>
  <c r="G27"/>
  <c r="H27"/>
  <c r="I27"/>
  <c r="J27"/>
  <c r="K27"/>
  <c r="L27"/>
  <c r="M27"/>
  <c r="N27"/>
  <c r="O27"/>
  <c r="P27"/>
  <c r="C28"/>
  <c r="D28"/>
  <c r="E28"/>
  <c r="F28"/>
  <c r="G28"/>
  <c r="H28"/>
  <c r="I28"/>
  <c r="J28"/>
  <c r="K28"/>
  <c r="L28"/>
  <c r="M28"/>
  <c r="N28"/>
  <c r="O28"/>
  <c r="P28"/>
  <c r="C29"/>
  <c r="D29"/>
  <c r="E29"/>
  <c r="F29"/>
  <c r="G29"/>
  <c r="H29"/>
  <c r="I29"/>
  <c r="J29"/>
  <c r="K29"/>
  <c r="L29"/>
  <c r="M29"/>
  <c r="N29"/>
  <c r="O29"/>
  <c r="P29"/>
  <c r="C30"/>
  <c r="D30"/>
  <c r="E30"/>
  <c r="F30"/>
  <c r="G30"/>
  <c r="H30"/>
  <c r="I30"/>
  <c r="J30"/>
  <c r="K30"/>
  <c r="L30"/>
  <c r="M30"/>
  <c r="N30"/>
  <c r="O30"/>
  <c r="P30"/>
  <c r="C31"/>
  <c r="D31"/>
  <c r="E31"/>
  <c r="F31"/>
  <c r="G31"/>
  <c r="H31"/>
  <c r="I31"/>
  <c r="J31"/>
  <c r="K31"/>
  <c r="L31"/>
  <c r="M31"/>
  <c r="N31"/>
  <c r="O31"/>
  <c r="P31"/>
  <c r="C32"/>
  <c r="D32"/>
  <c r="E32"/>
  <c r="F32"/>
  <c r="G32"/>
  <c r="H32"/>
  <c r="I32"/>
  <c r="J32"/>
  <c r="K32"/>
  <c r="L32"/>
  <c r="M32"/>
  <c r="N32"/>
  <c r="O32"/>
  <c r="P32"/>
  <c r="C33"/>
  <c r="D33"/>
  <c r="E33"/>
  <c r="F33"/>
  <c r="G33"/>
  <c r="H33"/>
  <c r="I33"/>
  <c r="J33"/>
  <c r="K33"/>
  <c r="L33"/>
  <c r="M33"/>
  <c r="N33"/>
  <c r="O33"/>
  <c r="P33"/>
  <c r="C34"/>
  <c r="D34"/>
  <c r="E34"/>
  <c r="F34"/>
  <c r="G34"/>
  <c r="H34"/>
  <c r="I34"/>
  <c r="J34"/>
  <c r="K34"/>
  <c r="L34"/>
  <c r="M34"/>
  <c r="N34"/>
  <c r="O34"/>
  <c r="P34"/>
  <c r="C35"/>
  <c r="D35"/>
  <c r="E35"/>
  <c r="F35"/>
  <c r="G35"/>
  <c r="H35"/>
  <c r="I35"/>
  <c r="J35"/>
  <c r="K35"/>
  <c r="L35"/>
  <c r="M35"/>
  <c r="N35"/>
  <c r="O35"/>
  <c r="P35"/>
  <c r="C36"/>
  <c r="D36"/>
  <c r="E36"/>
  <c r="F36"/>
  <c r="G36"/>
  <c r="H36"/>
  <c r="I36"/>
  <c r="J36"/>
  <c r="K36"/>
  <c r="L36"/>
  <c r="M36"/>
  <c r="N36"/>
  <c r="O36"/>
  <c r="P36"/>
  <c r="C37"/>
  <c r="D37"/>
  <c r="E37"/>
  <c r="F37"/>
  <c r="G37"/>
  <c r="H37"/>
  <c r="I37"/>
  <c r="J37"/>
  <c r="K37"/>
  <c r="L37"/>
  <c r="M37"/>
  <c r="N37"/>
  <c r="O37"/>
  <c r="P37"/>
  <c r="C38"/>
  <c r="D38"/>
  <c r="E38"/>
  <c r="F38"/>
  <c r="G38"/>
  <c r="H38"/>
  <c r="I38"/>
  <c r="J38"/>
  <c r="K38"/>
  <c r="L38"/>
  <c r="M38"/>
  <c r="N38"/>
  <c r="O38"/>
  <c r="P38"/>
  <c r="C40"/>
  <c r="D40"/>
  <c r="E40"/>
  <c r="F40"/>
  <c r="G40"/>
  <c r="H40"/>
  <c r="I40"/>
  <c r="J40"/>
  <c r="K40"/>
  <c r="L40"/>
  <c r="M40"/>
  <c r="N40"/>
  <c r="O40"/>
  <c r="P40"/>
  <c r="C41"/>
  <c r="D41"/>
  <c r="E41"/>
  <c r="F41"/>
  <c r="G41"/>
  <c r="H41"/>
  <c r="I41"/>
  <c r="J41"/>
  <c r="K41"/>
  <c r="L41"/>
  <c r="M41"/>
  <c r="N41"/>
  <c r="O41"/>
  <c r="P41"/>
  <c r="C42"/>
  <c r="D42"/>
  <c r="E42"/>
  <c r="F42"/>
  <c r="G42"/>
  <c r="H42"/>
  <c r="I42"/>
  <c r="J42"/>
  <c r="K42"/>
  <c r="L42"/>
  <c r="M42"/>
  <c r="N42"/>
  <c r="O42"/>
  <c r="P42"/>
  <c r="C43"/>
  <c r="D43"/>
  <c r="E43"/>
  <c r="F43"/>
  <c r="G43"/>
  <c r="H43"/>
  <c r="I43"/>
  <c r="J43"/>
  <c r="K43"/>
  <c r="L43"/>
  <c r="M43"/>
  <c r="N43"/>
  <c r="O43"/>
  <c r="P43"/>
  <c r="J7" i="47"/>
  <c r="K7"/>
  <c r="L7"/>
  <c r="M7"/>
  <c r="N7"/>
  <c r="O7"/>
  <c r="P7"/>
  <c r="J8"/>
  <c r="K8"/>
  <c r="L8"/>
  <c r="M8"/>
  <c r="N8"/>
  <c r="O8"/>
  <c r="P8"/>
  <c r="J9"/>
  <c r="K9"/>
  <c r="L9"/>
  <c r="M9"/>
  <c r="N9"/>
  <c r="O9"/>
  <c r="P9"/>
  <c r="J10"/>
  <c r="K10"/>
  <c r="L10"/>
  <c r="M10"/>
  <c r="N10"/>
  <c r="O10"/>
  <c r="P10"/>
  <c r="J11"/>
  <c r="K11"/>
  <c r="L11"/>
  <c r="M11"/>
  <c r="N11"/>
  <c r="O11"/>
  <c r="P11"/>
  <c r="J12"/>
  <c r="K12"/>
  <c r="L12"/>
  <c r="M12"/>
  <c r="N12"/>
  <c r="O12"/>
  <c r="P12"/>
  <c r="J13"/>
  <c r="K13"/>
  <c r="L13"/>
  <c r="M13"/>
  <c r="N13"/>
  <c r="O13"/>
  <c r="P13"/>
  <c r="J14"/>
  <c r="K14"/>
  <c r="L14"/>
  <c r="M14"/>
  <c r="N14"/>
  <c r="O14"/>
  <c r="P14"/>
  <c r="J15"/>
  <c r="K15"/>
  <c r="L15"/>
  <c r="M15"/>
  <c r="N15"/>
  <c r="O15"/>
  <c r="P15"/>
  <c r="J16"/>
  <c r="K16"/>
  <c r="L16"/>
  <c r="M16"/>
  <c r="N16"/>
  <c r="O16"/>
  <c r="P16"/>
  <c r="J17"/>
  <c r="K17"/>
  <c r="L17"/>
  <c r="M17"/>
  <c r="N17"/>
  <c r="O17"/>
  <c r="P17"/>
  <c r="C18"/>
  <c r="D18"/>
  <c r="E18"/>
  <c r="F18"/>
  <c r="G18"/>
  <c r="H18"/>
  <c r="I18"/>
  <c r="J18"/>
  <c r="K18"/>
  <c r="L18"/>
  <c r="M18"/>
  <c r="N18"/>
  <c r="O18"/>
  <c r="P18"/>
  <c r="J20"/>
  <c r="K20"/>
  <c r="L20"/>
  <c r="M20"/>
  <c r="N20"/>
  <c r="O20"/>
  <c r="P20"/>
  <c r="J21"/>
  <c r="K21"/>
  <c r="L21"/>
  <c r="M21"/>
  <c r="N21"/>
  <c r="O21"/>
  <c r="P21"/>
  <c r="J22"/>
  <c r="K22"/>
  <c r="L22"/>
  <c r="M22"/>
  <c r="N22"/>
  <c r="O22"/>
  <c r="P22"/>
  <c r="J23"/>
  <c r="K23"/>
  <c r="L23"/>
  <c r="M23"/>
  <c r="N23"/>
  <c r="O23"/>
  <c r="P23"/>
  <c r="J24"/>
  <c r="K24"/>
  <c r="L24"/>
  <c r="M24"/>
  <c r="N24"/>
  <c r="O24"/>
  <c r="P24"/>
  <c r="J25"/>
  <c r="K25"/>
  <c r="L25"/>
  <c r="M25"/>
  <c r="N25"/>
  <c r="O25"/>
  <c r="P25"/>
  <c r="J26"/>
  <c r="K26"/>
  <c r="L26"/>
  <c r="M26"/>
  <c r="N26"/>
  <c r="O26"/>
  <c r="P26"/>
  <c r="J27"/>
  <c r="K27"/>
  <c r="L27"/>
  <c r="M27"/>
  <c r="N27"/>
  <c r="O27"/>
  <c r="P27"/>
  <c r="J28"/>
  <c r="K28"/>
  <c r="L28"/>
  <c r="M28"/>
  <c r="N28"/>
  <c r="O28"/>
  <c r="P28"/>
  <c r="J29"/>
  <c r="K29"/>
  <c r="L29"/>
  <c r="M29"/>
  <c r="N29"/>
  <c r="O29"/>
  <c r="P29"/>
  <c r="J30"/>
  <c r="K30"/>
  <c r="L30"/>
  <c r="M30"/>
  <c r="N30"/>
  <c r="O30"/>
  <c r="P30"/>
  <c r="J31"/>
  <c r="K31"/>
  <c r="L31"/>
  <c r="M31"/>
  <c r="N31"/>
  <c r="O31"/>
  <c r="P31"/>
  <c r="J32"/>
  <c r="K32"/>
  <c r="L32"/>
  <c r="M32"/>
  <c r="N32"/>
  <c r="O32"/>
  <c r="P32"/>
  <c r="J33"/>
  <c r="K33"/>
  <c r="L33"/>
  <c r="M33"/>
  <c r="N33"/>
  <c r="O33"/>
  <c r="P33"/>
  <c r="J34"/>
  <c r="K34"/>
  <c r="L34"/>
  <c r="M34"/>
  <c r="N34"/>
  <c r="O34"/>
  <c r="P34"/>
  <c r="J35"/>
  <c r="K35"/>
  <c r="L35"/>
  <c r="M35"/>
  <c r="N35"/>
  <c r="O35"/>
  <c r="P35"/>
  <c r="J36"/>
  <c r="K36"/>
  <c r="L36"/>
  <c r="M36"/>
  <c r="N36"/>
  <c r="O36"/>
  <c r="P36"/>
  <c r="C37"/>
  <c r="D37"/>
  <c r="E37"/>
  <c r="F37"/>
  <c r="G37"/>
  <c r="H37"/>
  <c r="I37"/>
  <c r="J37"/>
  <c r="K37"/>
  <c r="L37"/>
  <c r="M37"/>
  <c r="N37"/>
  <c r="O37"/>
  <c r="P37"/>
  <c r="C38"/>
  <c r="D38"/>
  <c r="E38"/>
  <c r="F38"/>
  <c r="G38"/>
  <c r="H38"/>
  <c r="I38"/>
  <c r="J38"/>
  <c r="K38"/>
  <c r="L38"/>
  <c r="M38"/>
  <c r="N38"/>
  <c r="O38"/>
  <c r="P38"/>
  <c r="J40"/>
  <c r="K40"/>
  <c r="L40"/>
  <c r="M40"/>
  <c r="N40"/>
  <c r="O40"/>
  <c r="P40"/>
  <c r="J41"/>
  <c r="K41"/>
  <c r="L41"/>
  <c r="M41"/>
  <c r="N41"/>
  <c r="O41"/>
  <c r="P41"/>
  <c r="C42"/>
  <c r="D42"/>
  <c r="E42"/>
  <c r="F42"/>
  <c r="G42"/>
  <c r="H42"/>
  <c r="I42"/>
  <c r="J42"/>
  <c r="K42"/>
  <c r="L42"/>
  <c r="M42"/>
  <c r="N42"/>
  <c r="O42"/>
  <c r="P42"/>
  <c r="C43"/>
  <c r="D43"/>
  <c r="E43"/>
  <c r="F43"/>
  <c r="G43"/>
  <c r="H43"/>
  <c r="I43"/>
  <c r="J43"/>
  <c r="K43"/>
  <c r="L43"/>
  <c r="M43"/>
  <c r="N43"/>
  <c r="O43"/>
  <c r="P43"/>
  <c r="C7" i="48"/>
  <c r="D7"/>
  <c r="E7"/>
  <c r="F7"/>
  <c r="G7"/>
  <c r="H7"/>
  <c r="I7"/>
  <c r="J7"/>
  <c r="K7"/>
  <c r="L7"/>
  <c r="M7"/>
  <c r="N7"/>
  <c r="O7"/>
  <c r="P7"/>
  <c r="C8"/>
  <c r="D8"/>
  <c r="E8"/>
  <c r="F8"/>
  <c r="G8"/>
  <c r="H8"/>
  <c r="I8"/>
  <c r="J8"/>
  <c r="K8"/>
  <c r="L8"/>
  <c r="M8"/>
  <c r="N8"/>
  <c r="O8"/>
  <c r="P8"/>
  <c r="C9"/>
  <c r="D9"/>
  <c r="E9"/>
  <c r="F9"/>
  <c r="G9"/>
  <c r="H9"/>
  <c r="I9"/>
  <c r="J9"/>
  <c r="K9"/>
  <c r="L9"/>
  <c r="M9"/>
  <c r="N9"/>
  <c r="O9"/>
  <c r="P9"/>
  <c r="C10"/>
  <c r="D10"/>
  <c r="E10"/>
  <c r="F10"/>
  <c r="G10"/>
  <c r="H10"/>
  <c r="I10"/>
  <c r="J10"/>
  <c r="K10"/>
  <c r="L10"/>
  <c r="M10"/>
  <c r="N10"/>
  <c r="O10"/>
  <c r="P10"/>
  <c r="C11"/>
  <c r="D11"/>
  <c r="E11"/>
  <c r="F11"/>
  <c r="G11"/>
  <c r="H11"/>
  <c r="I11"/>
  <c r="J11"/>
  <c r="K11"/>
  <c r="L11"/>
  <c r="M11"/>
  <c r="N11"/>
  <c r="O11"/>
  <c r="P11"/>
  <c r="C12"/>
  <c r="D12"/>
  <c r="E12"/>
  <c r="F12"/>
  <c r="G12"/>
  <c r="H12"/>
  <c r="I12"/>
  <c r="J12"/>
  <c r="K12"/>
  <c r="L12"/>
  <c r="M12"/>
  <c r="N12"/>
  <c r="O12"/>
  <c r="P12"/>
  <c r="C13"/>
  <c r="D13"/>
  <c r="E13"/>
  <c r="F13"/>
  <c r="G13"/>
  <c r="H13"/>
  <c r="I13"/>
  <c r="J13"/>
  <c r="K13"/>
  <c r="L13"/>
  <c r="M13"/>
  <c r="N13"/>
  <c r="O13"/>
  <c r="P13"/>
  <c r="C14"/>
  <c r="D14"/>
  <c r="E14"/>
  <c r="F14"/>
  <c r="G14"/>
  <c r="H14"/>
  <c r="I14"/>
  <c r="J14"/>
  <c r="K14"/>
  <c r="L14"/>
  <c r="M14"/>
  <c r="N14"/>
  <c r="O14"/>
  <c r="P14"/>
  <c r="C15"/>
  <c r="D15"/>
  <c r="E15"/>
  <c r="F15"/>
  <c r="G15"/>
  <c r="H15"/>
  <c r="I15"/>
  <c r="J15"/>
  <c r="K15"/>
  <c r="L15"/>
  <c r="M15"/>
  <c r="N15"/>
  <c r="O15"/>
  <c r="P15"/>
  <c r="C16"/>
  <c r="D16"/>
  <c r="E16"/>
  <c r="F16"/>
  <c r="G16"/>
  <c r="H16"/>
  <c r="I16"/>
  <c r="J16"/>
  <c r="K16"/>
  <c r="L16"/>
  <c r="M16"/>
  <c r="N16"/>
  <c r="O16"/>
  <c r="P16"/>
  <c r="C17"/>
  <c r="D17"/>
  <c r="E17"/>
  <c r="F17"/>
  <c r="G17"/>
  <c r="H17"/>
  <c r="I17"/>
  <c r="J17"/>
  <c r="K17"/>
  <c r="L17"/>
  <c r="M17"/>
  <c r="N17"/>
  <c r="O17"/>
  <c r="P17"/>
  <c r="C18"/>
  <c r="D18"/>
  <c r="E18"/>
  <c r="F18"/>
  <c r="G18"/>
  <c r="H18"/>
  <c r="I18"/>
  <c r="J18"/>
  <c r="K18"/>
  <c r="L18"/>
  <c r="M18"/>
  <c r="N18"/>
  <c r="O18"/>
  <c r="P18"/>
  <c r="C20"/>
  <c r="D20"/>
  <c r="E20"/>
  <c r="F20"/>
  <c r="G20"/>
  <c r="H20"/>
  <c r="I20"/>
  <c r="J20"/>
  <c r="K20"/>
  <c r="L20"/>
  <c r="M20"/>
  <c r="N20"/>
  <c r="O20"/>
  <c r="P20"/>
  <c r="C21"/>
  <c r="D21"/>
  <c r="E21"/>
  <c r="F21"/>
  <c r="G21"/>
  <c r="H21"/>
  <c r="I21"/>
  <c r="J21"/>
  <c r="K21"/>
  <c r="L21"/>
  <c r="M21"/>
  <c r="N21"/>
  <c r="O21"/>
  <c r="P21"/>
  <c r="C22"/>
  <c r="D22"/>
  <c r="E22"/>
  <c r="F22"/>
  <c r="G22"/>
  <c r="H22"/>
  <c r="I22"/>
  <c r="J22"/>
  <c r="K22"/>
  <c r="L22"/>
  <c r="M22"/>
  <c r="N22"/>
  <c r="O22"/>
  <c r="P22"/>
  <c r="C23"/>
  <c r="D23"/>
  <c r="E23"/>
  <c r="F23"/>
  <c r="G23"/>
  <c r="H23"/>
  <c r="I23"/>
  <c r="J23"/>
  <c r="K23"/>
  <c r="L23"/>
  <c r="M23"/>
  <c r="N23"/>
  <c r="O23"/>
  <c r="P23"/>
  <c r="C24"/>
  <c r="D24"/>
  <c r="E24"/>
  <c r="F24"/>
  <c r="G24"/>
  <c r="H24"/>
  <c r="I24"/>
  <c r="J24"/>
  <c r="K24"/>
  <c r="L24"/>
  <c r="M24"/>
  <c r="N24"/>
  <c r="O24"/>
  <c r="P24"/>
  <c r="C25"/>
  <c r="D25"/>
  <c r="E25"/>
  <c r="F25"/>
  <c r="G25"/>
  <c r="H25"/>
  <c r="I25"/>
  <c r="J25"/>
  <c r="K25"/>
  <c r="L25"/>
  <c r="M25"/>
  <c r="N25"/>
  <c r="O25"/>
  <c r="P25"/>
  <c r="C26"/>
  <c r="D26"/>
  <c r="E26"/>
  <c r="F26"/>
  <c r="G26"/>
  <c r="H26"/>
  <c r="I26"/>
  <c r="J26"/>
  <c r="K26"/>
  <c r="L26"/>
  <c r="M26"/>
  <c r="N26"/>
  <c r="O26"/>
  <c r="P26"/>
  <c r="C27"/>
  <c r="D27"/>
  <c r="E27"/>
  <c r="F27"/>
  <c r="G27"/>
  <c r="H27"/>
  <c r="I27"/>
  <c r="J27"/>
  <c r="K27"/>
  <c r="L27"/>
  <c r="M27"/>
  <c r="N27"/>
  <c r="O27"/>
  <c r="P27"/>
  <c r="C28"/>
  <c r="D28"/>
  <c r="E28"/>
  <c r="F28"/>
  <c r="G28"/>
  <c r="H28"/>
  <c r="I28"/>
  <c r="J28"/>
  <c r="K28"/>
  <c r="L28"/>
  <c r="M28"/>
  <c r="N28"/>
  <c r="O28"/>
  <c r="P28"/>
  <c r="C29"/>
  <c r="D29"/>
  <c r="E29"/>
  <c r="F29"/>
  <c r="G29"/>
  <c r="H29"/>
  <c r="I29"/>
  <c r="J29"/>
  <c r="K29"/>
  <c r="L29"/>
  <c r="M29"/>
  <c r="N29"/>
  <c r="O29"/>
  <c r="P29"/>
  <c r="C30"/>
  <c r="D30"/>
  <c r="E30"/>
  <c r="F30"/>
  <c r="G30"/>
  <c r="H30"/>
  <c r="I30"/>
  <c r="J30"/>
  <c r="K30"/>
  <c r="L30"/>
  <c r="M30"/>
  <c r="N30"/>
  <c r="O30"/>
  <c r="P30"/>
  <c r="C31"/>
  <c r="D31"/>
  <c r="E31"/>
  <c r="F31"/>
  <c r="G31"/>
  <c r="H31"/>
  <c r="I31"/>
  <c r="J31"/>
  <c r="K31"/>
  <c r="L31"/>
  <c r="M31"/>
  <c r="N31"/>
  <c r="O31"/>
  <c r="P31"/>
  <c r="C32"/>
  <c r="D32"/>
  <c r="E32"/>
  <c r="F32"/>
  <c r="G32"/>
  <c r="H32"/>
  <c r="I32"/>
  <c r="J32"/>
  <c r="K32"/>
  <c r="L32"/>
  <c r="M32"/>
  <c r="N32"/>
  <c r="O32"/>
  <c r="P32"/>
  <c r="C33"/>
  <c r="D33"/>
  <c r="E33"/>
  <c r="F33"/>
  <c r="G33"/>
  <c r="H33"/>
  <c r="I33"/>
  <c r="J33"/>
  <c r="K33"/>
  <c r="L33"/>
  <c r="M33"/>
  <c r="N33"/>
  <c r="O33"/>
  <c r="P33"/>
  <c r="C34"/>
  <c r="D34"/>
  <c r="E34"/>
  <c r="F34"/>
  <c r="G34"/>
  <c r="H34"/>
  <c r="I34"/>
  <c r="J34"/>
  <c r="K34"/>
  <c r="L34"/>
  <c r="M34"/>
  <c r="N34"/>
  <c r="O34"/>
  <c r="P34"/>
  <c r="C35"/>
  <c r="D35"/>
  <c r="E35"/>
  <c r="F35"/>
  <c r="G35"/>
  <c r="H35"/>
  <c r="I35"/>
  <c r="J35"/>
  <c r="K35"/>
  <c r="L35"/>
  <c r="M35"/>
  <c r="N35"/>
  <c r="O35"/>
  <c r="P35"/>
  <c r="C36"/>
  <c r="D36"/>
  <c r="E36"/>
  <c r="F36"/>
  <c r="G36"/>
  <c r="H36"/>
  <c r="I36"/>
  <c r="J36"/>
  <c r="K36"/>
  <c r="L36"/>
  <c r="M36"/>
  <c r="N36"/>
  <c r="O36"/>
  <c r="P36"/>
  <c r="C37"/>
  <c r="D37"/>
  <c r="E37"/>
  <c r="F37"/>
  <c r="G37"/>
  <c r="H37"/>
  <c r="I37"/>
  <c r="J37"/>
  <c r="K37"/>
  <c r="L37"/>
  <c r="M37"/>
  <c r="N37"/>
  <c r="O37"/>
  <c r="P37"/>
  <c r="C38"/>
  <c r="D38"/>
  <c r="E38"/>
  <c r="F38"/>
  <c r="G38"/>
  <c r="H38"/>
  <c r="I38"/>
  <c r="J38"/>
  <c r="K38"/>
  <c r="L38"/>
  <c r="M38"/>
  <c r="N38"/>
  <c r="O38"/>
  <c r="P38"/>
  <c r="I39"/>
  <c r="C40"/>
  <c r="D40"/>
  <c r="E40"/>
  <c r="F40"/>
  <c r="G40"/>
  <c r="H40"/>
  <c r="I40"/>
  <c r="J40"/>
  <c r="K40"/>
  <c r="L40"/>
  <c r="M40"/>
  <c r="N40"/>
  <c r="O40"/>
  <c r="P40"/>
  <c r="C41"/>
  <c r="D41"/>
  <c r="E41"/>
  <c r="F41"/>
  <c r="G41"/>
  <c r="H41"/>
  <c r="I41"/>
  <c r="J41"/>
  <c r="K41"/>
  <c r="L41"/>
  <c r="M41"/>
  <c r="N41"/>
  <c r="O41"/>
  <c r="P41"/>
  <c r="C42"/>
  <c r="D42"/>
  <c r="E42"/>
  <c r="F42"/>
  <c r="G42"/>
  <c r="H42"/>
  <c r="I42"/>
  <c r="J42"/>
  <c r="K42"/>
  <c r="L42"/>
  <c r="M42"/>
  <c r="N42"/>
  <c r="O42"/>
  <c r="P42"/>
  <c r="C43"/>
  <c r="D43"/>
  <c r="E43"/>
  <c r="F43"/>
  <c r="G43"/>
  <c r="H43"/>
  <c r="I43"/>
  <c r="J43"/>
  <c r="K43"/>
  <c r="L43"/>
  <c r="M43"/>
  <c r="N43"/>
  <c r="O43"/>
  <c r="P43"/>
  <c r="J7" i="49"/>
  <c r="K7"/>
  <c r="L7"/>
  <c r="M7"/>
  <c r="N7"/>
  <c r="O7"/>
  <c r="P7"/>
  <c r="J8"/>
  <c r="K8"/>
  <c r="L8"/>
  <c r="M8"/>
  <c r="N8"/>
  <c r="O8"/>
  <c r="P8"/>
  <c r="J9"/>
  <c r="K9"/>
  <c r="L9"/>
  <c r="M9"/>
  <c r="N9"/>
  <c r="O9"/>
  <c r="P9"/>
  <c r="J10"/>
  <c r="K10"/>
  <c r="L10"/>
  <c r="M10"/>
  <c r="N10"/>
  <c r="O10"/>
  <c r="P10"/>
  <c r="J11"/>
  <c r="K11"/>
  <c r="L11"/>
  <c r="M11"/>
  <c r="N11"/>
  <c r="O11"/>
  <c r="P11"/>
  <c r="J12"/>
  <c r="K12"/>
  <c r="L12"/>
  <c r="M12"/>
  <c r="N12"/>
  <c r="O12"/>
  <c r="P12"/>
  <c r="J13"/>
  <c r="K13"/>
  <c r="L13"/>
  <c r="M13"/>
  <c r="N13"/>
  <c r="O13"/>
  <c r="P13"/>
  <c r="J14"/>
  <c r="K14"/>
  <c r="L14"/>
  <c r="M14"/>
  <c r="N14"/>
  <c r="O14"/>
  <c r="P14"/>
  <c r="J15"/>
  <c r="K15"/>
  <c r="L15"/>
  <c r="M15"/>
  <c r="N15"/>
  <c r="O15"/>
  <c r="P15"/>
  <c r="J16"/>
  <c r="K16"/>
  <c r="L16"/>
  <c r="M16"/>
  <c r="N16"/>
  <c r="O16"/>
  <c r="P16"/>
  <c r="J17"/>
  <c r="K17"/>
  <c r="L17"/>
  <c r="M17"/>
  <c r="N17"/>
  <c r="O17"/>
  <c r="P17"/>
  <c r="C18"/>
  <c r="D18"/>
  <c r="E18"/>
  <c r="F18"/>
  <c r="G18"/>
  <c r="H18"/>
  <c r="I18"/>
  <c r="J18"/>
  <c r="K18"/>
  <c r="L18"/>
  <c r="M18"/>
  <c r="N18"/>
  <c r="O18"/>
  <c r="P18"/>
  <c r="J20"/>
  <c r="K20"/>
  <c r="L20"/>
  <c r="M20"/>
  <c r="N20"/>
  <c r="O20"/>
  <c r="P20"/>
  <c r="J21"/>
  <c r="K21"/>
  <c r="L21"/>
  <c r="M21"/>
  <c r="N21"/>
  <c r="O21"/>
  <c r="P21"/>
  <c r="J22"/>
  <c r="K22"/>
  <c r="L22"/>
  <c r="M22"/>
  <c r="N22"/>
  <c r="O22"/>
  <c r="P22"/>
  <c r="J23"/>
  <c r="K23"/>
  <c r="L23"/>
  <c r="M23"/>
  <c r="N23"/>
  <c r="O23"/>
  <c r="P23"/>
  <c r="J24"/>
  <c r="K24"/>
  <c r="L24"/>
  <c r="M24"/>
  <c r="N24"/>
  <c r="O24"/>
  <c r="P24"/>
  <c r="J25"/>
  <c r="K25"/>
  <c r="L25"/>
  <c r="M25"/>
  <c r="N25"/>
  <c r="O25"/>
  <c r="P25"/>
  <c r="J26"/>
  <c r="K26"/>
  <c r="L26"/>
  <c r="M26"/>
  <c r="N26"/>
  <c r="O26"/>
  <c r="P26"/>
  <c r="J27"/>
  <c r="K27"/>
  <c r="L27"/>
  <c r="M27"/>
  <c r="N27"/>
  <c r="O27"/>
  <c r="P27"/>
  <c r="J28"/>
  <c r="K28"/>
  <c r="L28"/>
  <c r="M28"/>
  <c r="N28"/>
  <c r="O28"/>
  <c r="P28"/>
  <c r="J29"/>
  <c r="K29"/>
  <c r="L29"/>
  <c r="M29"/>
  <c r="N29"/>
  <c r="O29"/>
  <c r="P29"/>
  <c r="J30"/>
  <c r="K30"/>
  <c r="L30"/>
  <c r="M30"/>
  <c r="N30"/>
  <c r="O30"/>
  <c r="P30"/>
  <c r="J31"/>
  <c r="K31"/>
  <c r="L31"/>
  <c r="M31"/>
  <c r="N31"/>
  <c r="O31"/>
  <c r="P31"/>
  <c r="J32"/>
  <c r="K32"/>
  <c r="L32"/>
  <c r="M32"/>
  <c r="N32"/>
  <c r="O32"/>
  <c r="P32"/>
  <c r="J33"/>
  <c r="K33"/>
  <c r="L33"/>
  <c r="M33"/>
  <c r="N33"/>
  <c r="O33"/>
  <c r="P33"/>
  <c r="J34"/>
  <c r="K34"/>
  <c r="L34"/>
  <c r="M34"/>
  <c r="N34"/>
  <c r="O34"/>
  <c r="P34"/>
  <c r="J35"/>
  <c r="K35"/>
  <c r="L35"/>
  <c r="M35"/>
  <c r="N35"/>
  <c r="O35"/>
  <c r="P35"/>
  <c r="J36"/>
  <c r="K36"/>
  <c r="L36"/>
  <c r="M36"/>
  <c r="N36"/>
  <c r="O36"/>
  <c r="P36"/>
  <c r="C37"/>
  <c r="D37"/>
  <c r="E37"/>
  <c r="F37"/>
  <c r="G37"/>
  <c r="H37"/>
  <c r="I37"/>
  <c r="J37"/>
  <c r="K37"/>
  <c r="L37"/>
  <c r="M37"/>
  <c r="N37"/>
  <c r="O37"/>
  <c r="P37"/>
  <c r="C38"/>
  <c r="D38"/>
  <c r="E38"/>
  <c r="F38"/>
  <c r="G38"/>
  <c r="H38"/>
  <c r="I38"/>
  <c r="J38"/>
  <c r="K38"/>
  <c r="L38"/>
  <c r="M38"/>
  <c r="N38"/>
  <c r="O38"/>
  <c r="P38"/>
  <c r="J40"/>
  <c r="K40"/>
  <c r="L40"/>
  <c r="M40"/>
  <c r="N40"/>
  <c r="O40"/>
  <c r="P40"/>
  <c r="J41"/>
  <c r="K41"/>
  <c r="L41"/>
  <c r="M41"/>
  <c r="N41"/>
  <c r="O41"/>
  <c r="P41"/>
  <c r="C42"/>
  <c r="D42"/>
  <c r="E42"/>
  <c r="F42"/>
  <c r="G42"/>
  <c r="H42"/>
  <c r="I42"/>
  <c r="J42"/>
  <c r="K42"/>
  <c r="L42"/>
  <c r="M42"/>
  <c r="N42"/>
  <c r="O42"/>
  <c r="P42"/>
  <c r="C43"/>
  <c r="D43"/>
  <c r="E43"/>
  <c r="F43"/>
  <c r="G43"/>
  <c r="H43"/>
  <c r="I43"/>
  <c r="J43"/>
  <c r="K43"/>
  <c r="L43"/>
  <c r="M43"/>
  <c r="N43"/>
  <c r="O43"/>
  <c r="P43"/>
  <c r="C7" i="50"/>
  <c r="D7"/>
  <c r="E7"/>
  <c r="F7"/>
  <c r="G7"/>
  <c r="H7"/>
  <c r="I7"/>
  <c r="J7"/>
  <c r="K7"/>
  <c r="L7"/>
  <c r="M7"/>
  <c r="N7"/>
  <c r="O7"/>
  <c r="P7"/>
  <c r="C8"/>
  <c r="D8"/>
  <c r="E8"/>
  <c r="F8"/>
  <c r="G8"/>
  <c r="H8"/>
  <c r="I8"/>
  <c r="J8"/>
  <c r="K8"/>
  <c r="L8"/>
  <c r="M8"/>
  <c r="N8"/>
  <c r="O8"/>
  <c r="P8"/>
  <c r="C9"/>
  <c r="D9"/>
  <c r="E9"/>
  <c r="F9"/>
  <c r="G9"/>
  <c r="H9"/>
  <c r="I9"/>
  <c r="J9"/>
  <c r="K9"/>
  <c r="L9"/>
  <c r="M9"/>
  <c r="N9"/>
  <c r="O9"/>
  <c r="P9"/>
  <c r="C10"/>
  <c r="D10"/>
  <c r="E10"/>
  <c r="F10"/>
  <c r="G10"/>
  <c r="H10"/>
  <c r="I10"/>
  <c r="J10"/>
  <c r="K10"/>
  <c r="L10"/>
  <c r="M10"/>
  <c r="N10"/>
  <c r="O10"/>
  <c r="P10"/>
  <c r="C11"/>
  <c r="D11"/>
  <c r="E11"/>
  <c r="F11"/>
  <c r="G11"/>
  <c r="H11"/>
  <c r="I11"/>
  <c r="J11"/>
  <c r="K11"/>
  <c r="L11"/>
  <c r="M11"/>
  <c r="N11"/>
  <c r="O11"/>
  <c r="P11"/>
  <c r="C12"/>
  <c r="D12"/>
  <c r="E12"/>
  <c r="F12"/>
  <c r="G12"/>
  <c r="H12"/>
  <c r="I12"/>
  <c r="J12"/>
  <c r="K12"/>
  <c r="L12"/>
  <c r="M12"/>
  <c r="N12"/>
  <c r="O12"/>
  <c r="P12"/>
  <c r="C13"/>
  <c r="D13"/>
  <c r="E13"/>
  <c r="F13"/>
  <c r="G13"/>
  <c r="H13"/>
  <c r="I13"/>
  <c r="J13"/>
  <c r="K13"/>
  <c r="L13"/>
  <c r="M13"/>
  <c r="N13"/>
  <c r="O13"/>
  <c r="P13"/>
  <c r="C14"/>
  <c r="D14"/>
  <c r="E14"/>
  <c r="F14"/>
  <c r="G14"/>
  <c r="H14"/>
  <c r="I14"/>
  <c r="J14"/>
  <c r="K14"/>
  <c r="L14"/>
  <c r="M14"/>
  <c r="N14"/>
  <c r="O14"/>
  <c r="P14"/>
  <c r="C15"/>
  <c r="D15"/>
  <c r="E15"/>
  <c r="F15"/>
  <c r="G15"/>
  <c r="H15"/>
  <c r="I15"/>
  <c r="J15"/>
  <c r="K15"/>
  <c r="L15"/>
  <c r="M15"/>
  <c r="N15"/>
  <c r="O15"/>
  <c r="P15"/>
  <c r="C16"/>
  <c r="D16"/>
  <c r="E16"/>
  <c r="F16"/>
  <c r="G16"/>
  <c r="H16"/>
  <c r="I16"/>
  <c r="J16"/>
  <c r="K16"/>
  <c r="L16"/>
  <c r="M16"/>
  <c r="N16"/>
  <c r="O16"/>
  <c r="P16"/>
  <c r="C17"/>
  <c r="D17"/>
  <c r="E17"/>
  <c r="F17"/>
  <c r="G17"/>
  <c r="H17"/>
  <c r="I17"/>
  <c r="J17"/>
  <c r="K17"/>
  <c r="L17"/>
  <c r="M17"/>
  <c r="N17"/>
  <c r="O17"/>
  <c r="P17"/>
  <c r="C18"/>
  <c r="D18"/>
  <c r="E18"/>
  <c r="F18"/>
  <c r="G18"/>
  <c r="H18"/>
  <c r="I18"/>
  <c r="J18"/>
  <c r="K18"/>
  <c r="L18"/>
  <c r="M18"/>
  <c r="N18"/>
  <c r="O18"/>
  <c r="P18"/>
  <c r="C20"/>
  <c r="D20"/>
  <c r="E20"/>
  <c r="F20"/>
  <c r="G20"/>
  <c r="H20"/>
  <c r="I20"/>
  <c r="J20"/>
  <c r="K20"/>
  <c r="L20"/>
  <c r="M20"/>
  <c r="N20"/>
  <c r="O20"/>
  <c r="P20"/>
  <c r="C21"/>
  <c r="D21"/>
  <c r="E21"/>
  <c r="F21"/>
  <c r="G21"/>
  <c r="H21"/>
  <c r="I21"/>
  <c r="J21"/>
  <c r="K21"/>
  <c r="L21"/>
  <c r="M21"/>
  <c r="N21"/>
  <c r="O21"/>
  <c r="P21"/>
  <c r="C22"/>
  <c r="D22"/>
  <c r="E22"/>
  <c r="F22"/>
  <c r="G22"/>
  <c r="H22"/>
  <c r="I22"/>
  <c r="J22"/>
  <c r="K22"/>
  <c r="L22"/>
  <c r="M22"/>
  <c r="N22"/>
  <c r="O22"/>
  <c r="P22"/>
  <c r="C23"/>
  <c r="D23"/>
  <c r="E23"/>
  <c r="F23"/>
  <c r="G23"/>
  <c r="H23"/>
  <c r="I23"/>
  <c r="J23"/>
  <c r="K23"/>
  <c r="L23"/>
  <c r="M23"/>
  <c r="N23"/>
  <c r="O23"/>
  <c r="P23"/>
  <c r="C24"/>
  <c r="D24"/>
  <c r="E24"/>
  <c r="F24"/>
  <c r="G24"/>
  <c r="H24"/>
  <c r="I24"/>
  <c r="J24"/>
  <c r="K24"/>
  <c r="L24"/>
  <c r="M24"/>
  <c r="N24"/>
  <c r="O24"/>
  <c r="P24"/>
  <c r="C25"/>
  <c r="D25"/>
  <c r="E25"/>
  <c r="F25"/>
  <c r="G25"/>
  <c r="H25"/>
  <c r="I25"/>
  <c r="J25"/>
  <c r="K25"/>
  <c r="L25"/>
  <c r="M25"/>
  <c r="N25"/>
  <c r="O25"/>
  <c r="P25"/>
  <c r="C26"/>
  <c r="D26"/>
  <c r="E26"/>
  <c r="F26"/>
  <c r="G26"/>
  <c r="H26"/>
  <c r="I26"/>
  <c r="J26"/>
  <c r="K26"/>
  <c r="L26"/>
  <c r="M26"/>
  <c r="N26"/>
  <c r="O26"/>
  <c r="P26"/>
  <c r="C27"/>
  <c r="D27"/>
  <c r="E27"/>
  <c r="F27"/>
  <c r="G27"/>
  <c r="H27"/>
  <c r="I27"/>
  <c r="J27"/>
  <c r="K27"/>
  <c r="L27"/>
  <c r="M27"/>
  <c r="N27"/>
  <c r="O27"/>
  <c r="P27"/>
  <c r="C28"/>
  <c r="D28"/>
  <c r="E28"/>
  <c r="F28"/>
  <c r="G28"/>
  <c r="H28"/>
  <c r="I28"/>
  <c r="J28"/>
  <c r="K28"/>
  <c r="L28"/>
  <c r="M28"/>
  <c r="N28"/>
  <c r="O28"/>
  <c r="P28"/>
  <c r="C29"/>
  <c r="D29"/>
  <c r="E29"/>
  <c r="F29"/>
  <c r="G29"/>
  <c r="H29"/>
  <c r="I29"/>
  <c r="J29"/>
  <c r="K29"/>
  <c r="L29"/>
  <c r="M29"/>
  <c r="N29"/>
  <c r="O29"/>
  <c r="P29"/>
  <c r="C30"/>
  <c r="D30"/>
  <c r="E30"/>
  <c r="F30"/>
  <c r="G30"/>
  <c r="H30"/>
  <c r="I30"/>
  <c r="J30"/>
  <c r="K30"/>
  <c r="L30"/>
  <c r="M30"/>
  <c r="N30"/>
  <c r="O30"/>
  <c r="P30"/>
  <c r="C31"/>
  <c r="D31"/>
  <c r="E31"/>
  <c r="F31"/>
  <c r="G31"/>
  <c r="H31"/>
  <c r="I31"/>
  <c r="J31"/>
  <c r="K31"/>
  <c r="L31"/>
  <c r="M31"/>
  <c r="N31"/>
  <c r="O31"/>
  <c r="P31"/>
  <c r="C32"/>
  <c r="D32"/>
  <c r="E32"/>
  <c r="F32"/>
  <c r="G32"/>
  <c r="H32"/>
  <c r="I32"/>
  <c r="J32"/>
  <c r="K32"/>
  <c r="L32"/>
  <c r="M32"/>
  <c r="N32"/>
  <c r="O32"/>
  <c r="P32"/>
  <c r="C33"/>
  <c r="D33"/>
  <c r="E33"/>
  <c r="F33"/>
  <c r="G33"/>
  <c r="H33"/>
  <c r="I33"/>
  <c r="J33"/>
  <c r="K33"/>
  <c r="L33"/>
  <c r="M33"/>
  <c r="N33"/>
  <c r="O33"/>
  <c r="P33"/>
  <c r="C34"/>
  <c r="D34"/>
  <c r="E34"/>
  <c r="F34"/>
  <c r="G34"/>
  <c r="H34"/>
  <c r="I34"/>
  <c r="J34"/>
  <c r="K34"/>
  <c r="L34"/>
  <c r="M34"/>
  <c r="N34"/>
  <c r="O34"/>
  <c r="P34"/>
  <c r="C35"/>
  <c r="D35"/>
  <c r="E35"/>
  <c r="F35"/>
  <c r="G35"/>
  <c r="H35"/>
  <c r="I35"/>
  <c r="J35"/>
  <c r="K35"/>
  <c r="L35"/>
  <c r="M35"/>
  <c r="N35"/>
  <c r="O35"/>
  <c r="P35"/>
  <c r="C36"/>
  <c r="D36"/>
  <c r="E36"/>
  <c r="F36"/>
  <c r="G36"/>
  <c r="H36"/>
  <c r="I36"/>
  <c r="J36"/>
  <c r="K36"/>
  <c r="L36"/>
  <c r="M36"/>
  <c r="N36"/>
  <c r="O36"/>
  <c r="P36"/>
  <c r="C37"/>
  <c r="D37"/>
  <c r="E37"/>
  <c r="F37"/>
  <c r="G37"/>
  <c r="H37"/>
  <c r="I37"/>
  <c r="J37"/>
  <c r="K37"/>
  <c r="L37"/>
  <c r="M37"/>
  <c r="N37"/>
  <c r="O37"/>
  <c r="P37"/>
  <c r="C38"/>
  <c r="D38"/>
  <c r="E38"/>
  <c r="F38"/>
  <c r="G38"/>
  <c r="H38"/>
  <c r="I38"/>
  <c r="J38"/>
  <c r="K38"/>
  <c r="L38"/>
  <c r="M38"/>
  <c r="N38"/>
  <c r="O38"/>
  <c r="P38"/>
  <c r="C40"/>
  <c r="D40"/>
  <c r="E40"/>
  <c r="F40"/>
  <c r="G40"/>
  <c r="H40"/>
  <c r="I40"/>
  <c r="J40"/>
  <c r="K40"/>
  <c r="L40"/>
  <c r="M40"/>
  <c r="N40"/>
  <c r="O40"/>
  <c r="P40"/>
  <c r="C41"/>
  <c r="D41"/>
  <c r="E41"/>
  <c r="F41"/>
  <c r="G41"/>
  <c r="H41"/>
  <c r="I41"/>
  <c r="J41"/>
  <c r="K41"/>
  <c r="L41"/>
  <c r="M41"/>
  <c r="N41"/>
  <c r="O41"/>
  <c r="P41"/>
  <c r="C42"/>
  <c r="D42"/>
  <c r="E42"/>
  <c r="F42"/>
  <c r="G42"/>
  <c r="H42"/>
  <c r="I42"/>
  <c r="J42"/>
  <c r="K42"/>
  <c r="L42"/>
  <c r="M42"/>
  <c r="N42"/>
  <c r="O42"/>
  <c r="P42"/>
  <c r="C43"/>
  <c r="D43"/>
  <c r="E43"/>
  <c r="F43"/>
  <c r="G43"/>
  <c r="H43"/>
  <c r="I43"/>
  <c r="J43"/>
  <c r="K43"/>
  <c r="L43"/>
  <c r="M43"/>
  <c r="N43"/>
  <c r="O43"/>
  <c r="P43"/>
  <c r="J7" i="51"/>
  <c r="K7"/>
  <c r="L7"/>
  <c r="M7"/>
  <c r="N7"/>
  <c r="O7"/>
  <c r="P7"/>
  <c r="J8"/>
  <c r="K8"/>
  <c r="L8"/>
  <c r="M8"/>
  <c r="N8"/>
  <c r="O8"/>
  <c r="P8"/>
  <c r="J9"/>
  <c r="K9"/>
  <c r="L9"/>
  <c r="M9"/>
  <c r="N9"/>
  <c r="O9"/>
  <c r="P9"/>
  <c r="J10"/>
  <c r="K10"/>
  <c r="L10"/>
  <c r="M10"/>
  <c r="N10"/>
  <c r="O10"/>
  <c r="P10"/>
  <c r="J11"/>
  <c r="K11"/>
  <c r="L11"/>
  <c r="M11"/>
  <c r="N11"/>
  <c r="O11"/>
  <c r="P11"/>
  <c r="J12"/>
  <c r="K12"/>
  <c r="L12"/>
  <c r="M12"/>
  <c r="N12"/>
  <c r="O12"/>
  <c r="P12"/>
  <c r="J13"/>
  <c r="K13"/>
  <c r="L13"/>
  <c r="M13"/>
  <c r="N13"/>
  <c r="O13"/>
  <c r="P13"/>
  <c r="J14"/>
  <c r="K14"/>
  <c r="L14"/>
  <c r="M14"/>
  <c r="N14"/>
  <c r="O14"/>
  <c r="P14"/>
  <c r="J15"/>
  <c r="K15"/>
  <c r="L15"/>
  <c r="M15"/>
  <c r="N15"/>
  <c r="O15"/>
  <c r="P15"/>
  <c r="J16"/>
  <c r="K16"/>
  <c r="L16"/>
  <c r="M16"/>
  <c r="N16"/>
  <c r="O16"/>
  <c r="P16"/>
  <c r="J17"/>
  <c r="K17"/>
  <c r="L17"/>
  <c r="M17"/>
  <c r="N17"/>
  <c r="O17"/>
  <c r="P17"/>
  <c r="C18"/>
  <c r="D18"/>
  <c r="E18"/>
  <c r="F18"/>
  <c r="G18"/>
  <c r="H18"/>
  <c r="I18"/>
  <c r="J18"/>
  <c r="K18"/>
  <c r="L18"/>
  <c r="M18"/>
  <c r="N18"/>
  <c r="O18"/>
  <c r="P18"/>
  <c r="N19"/>
  <c r="O19"/>
  <c r="P19"/>
  <c r="J20"/>
  <c r="K20"/>
  <c r="L20"/>
  <c r="M20"/>
  <c r="N20"/>
  <c r="O20"/>
  <c r="P20"/>
  <c r="J21"/>
  <c r="K21"/>
  <c r="L21"/>
  <c r="M21"/>
  <c r="N21"/>
  <c r="O21"/>
  <c r="P21"/>
  <c r="J22"/>
  <c r="K22"/>
  <c r="L22"/>
  <c r="M22"/>
  <c r="N22"/>
  <c r="O22"/>
  <c r="P22"/>
  <c r="J23"/>
  <c r="K23"/>
  <c r="L23"/>
  <c r="M23"/>
  <c r="N23"/>
  <c r="O23"/>
  <c r="P23"/>
  <c r="J24"/>
  <c r="K24"/>
  <c r="L24"/>
  <c r="M24"/>
  <c r="N24"/>
  <c r="O24"/>
  <c r="P24"/>
  <c r="J25"/>
  <c r="K25"/>
  <c r="L25"/>
  <c r="M25"/>
  <c r="N25"/>
  <c r="O25"/>
  <c r="P25"/>
  <c r="J26"/>
  <c r="K26"/>
  <c r="L26"/>
  <c r="M26"/>
  <c r="N26"/>
  <c r="O26"/>
  <c r="P26"/>
  <c r="J27"/>
  <c r="K27"/>
  <c r="L27"/>
  <c r="M27"/>
  <c r="N27"/>
  <c r="O27"/>
  <c r="P27"/>
  <c r="J28"/>
  <c r="K28"/>
  <c r="L28"/>
  <c r="M28"/>
  <c r="N28"/>
  <c r="O28"/>
  <c r="P28"/>
  <c r="J29"/>
  <c r="K29"/>
  <c r="L29"/>
  <c r="M29"/>
  <c r="N29"/>
  <c r="O29"/>
  <c r="P29"/>
  <c r="J30"/>
  <c r="K30"/>
  <c r="L30"/>
  <c r="M30"/>
  <c r="N30"/>
  <c r="O30"/>
  <c r="P30"/>
  <c r="J31"/>
  <c r="K31"/>
  <c r="L31"/>
  <c r="M31"/>
  <c r="N31"/>
  <c r="O31"/>
  <c r="P31"/>
  <c r="J32"/>
  <c r="K32"/>
  <c r="L32"/>
  <c r="M32"/>
  <c r="N32"/>
  <c r="O32"/>
  <c r="P32"/>
  <c r="J33"/>
  <c r="K33"/>
  <c r="L33"/>
  <c r="M33"/>
  <c r="N33"/>
  <c r="O33"/>
  <c r="P33"/>
  <c r="J34"/>
  <c r="K34"/>
  <c r="L34"/>
  <c r="M34"/>
  <c r="N34"/>
  <c r="O34"/>
  <c r="P34"/>
  <c r="J35"/>
  <c r="K35"/>
  <c r="L35"/>
  <c r="M35"/>
  <c r="N35"/>
  <c r="O35"/>
  <c r="P35"/>
  <c r="J36"/>
  <c r="K36"/>
  <c r="L36"/>
  <c r="M36"/>
  <c r="N36"/>
  <c r="O36"/>
  <c r="P36"/>
  <c r="C37"/>
  <c r="D37"/>
  <c r="E37"/>
  <c r="F37"/>
  <c r="G37"/>
  <c r="H37"/>
  <c r="I37"/>
  <c r="J37"/>
  <c r="K37"/>
  <c r="L37"/>
  <c r="M37"/>
  <c r="N37"/>
  <c r="O37"/>
  <c r="P37"/>
  <c r="C38"/>
  <c r="D38"/>
  <c r="E38"/>
  <c r="F38"/>
  <c r="G38"/>
  <c r="H38"/>
  <c r="I38"/>
  <c r="J38"/>
  <c r="K38"/>
  <c r="L38"/>
  <c r="M38"/>
  <c r="N38"/>
  <c r="O38"/>
  <c r="P38"/>
  <c r="N39"/>
  <c r="O39"/>
  <c r="P39"/>
  <c r="J40"/>
  <c r="K40"/>
  <c r="L40"/>
  <c r="M40"/>
  <c r="N40"/>
  <c r="O40"/>
  <c r="P40"/>
  <c r="J41"/>
  <c r="K41"/>
  <c r="L41"/>
  <c r="M41"/>
  <c r="N41"/>
  <c r="O41"/>
  <c r="P41"/>
  <c r="C42"/>
  <c r="D42"/>
  <c r="E42"/>
  <c r="F42"/>
  <c r="G42"/>
  <c r="H42"/>
  <c r="I42"/>
  <c r="J42"/>
  <c r="K42"/>
  <c r="L42"/>
  <c r="M42"/>
  <c r="N42"/>
  <c r="O42"/>
  <c r="P42"/>
  <c r="C43"/>
  <c r="D43"/>
  <c r="E43"/>
  <c r="F43"/>
  <c r="G43"/>
  <c r="H43"/>
  <c r="I43"/>
  <c r="J43"/>
  <c r="K43"/>
  <c r="L43"/>
  <c r="M43"/>
  <c r="N43"/>
  <c r="O43"/>
  <c r="P43"/>
  <c r="C8" i="52"/>
  <c r="D8"/>
  <c r="E8"/>
  <c r="F8"/>
  <c r="G8"/>
  <c r="H8"/>
  <c r="I8"/>
  <c r="J8"/>
  <c r="E12"/>
  <c r="F12"/>
  <c r="G12"/>
  <c r="H12"/>
  <c r="I12"/>
  <c r="J12"/>
  <c r="C20"/>
  <c r="D20"/>
  <c r="E20"/>
  <c r="F20"/>
  <c r="G20"/>
  <c r="H20"/>
  <c r="I20"/>
  <c r="J20"/>
  <c r="E22"/>
  <c r="F22"/>
  <c r="G22"/>
  <c r="H22"/>
  <c r="I22"/>
  <c r="J22"/>
  <c r="C26"/>
  <c r="D26"/>
  <c r="E26"/>
  <c r="F26"/>
  <c r="G26"/>
  <c r="H26"/>
  <c r="I26"/>
  <c r="J26"/>
  <c r="E27"/>
  <c r="F27"/>
  <c r="G27"/>
  <c r="H27"/>
  <c r="I27"/>
  <c r="J27"/>
  <c r="E28"/>
  <c r="F28"/>
  <c r="G28"/>
  <c r="H28"/>
  <c r="I28"/>
  <c r="J28"/>
  <c r="E32"/>
  <c r="F32"/>
  <c r="G32"/>
  <c r="H32"/>
  <c r="I32"/>
  <c r="J32"/>
  <c r="C34"/>
  <c r="E34"/>
  <c r="F34"/>
  <c r="G34"/>
  <c r="H34"/>
  <c r="I34"/>
  <c r="C36"/>
  <c r="D36"/>
  <c r="E36"/>
  <c r="F36"/>
  <c r="G36"/>
  <c r="H36"/>
  <c r="I36"/>
  <c r="J36"/>
  <c r="J9" i="3"/>
  <c r="J9" i="13"/>
  <c r="C9" i="18"/>
  <c r="J9" i="15"/>
  <c r="J9" i="18"/>
  <c r="Q9"/>
  <c r="K9" i="3"/>
  <c r="K9" i="13"/>
  <c r="D9" i="18"/>
  <c r="K9" i="15"/>
  <c r="K9" i="18"/>
  <c r="R9"/>
  <c r="L9" i="3"/>
  <c r="L9" i="13"/>
  <c r="E9" i="18"/>
  <c r="L9" i="15"/>
  <c r="L9" i="18"/>
  <c r="S9"/>
  <c r="M9" i="3"/>
  <c r="M9" i="13"/>
  <c r="F9" i="18"/>
  <c r="M9" i="15"/>
  <c r="M9" i="18"/>
  <c r="T9"/>
  <c r="N9" i="3"/>
  <c r="N9" i="13"/>
  <c r="G9" i="18"/>
  <c r="N9" i="15"/>
  <c r="N9" i="18"/>
  <c r="U9"/>
  <c r="O9" i="3"/>
  <c r="O9" i="13"/>
  <c r="H9" i="18"/>
  <c r="O9" i="15"/>
  <c r="O9" i="18"/>
  <c r="V9"/>
  <c r="P9" i="3"/>
  <c r="P9" i="13"/>
  <c r="I9" i="18"/>
  <c r="P9" i="15"/>
  <c r="P9" i="18"/>
  <c r="W9"/>
  <c r="J10" i="3"/>
  <c r="J10" i="13"/>
  <c r="C10" i="18"/>
  <c r="J10" i="15"/>
  <c r="J10" i="18"/>
  <c r="Q10"/>
  <c r="K10" i="3"/>
  <c r="K10" i="13"/>
  <c r="D10" i="18"/>
  <c r="K10" i="15"/>
  <c r="K10" i="18"/>
  <c r="R10"/>
  <c r="L10" i="3"/>
  <c r="L10" i="13"/>
  <c r="E10" i="18"/>
  <c r="L10" i="15"/>
  <c r="L10" i="18"/>
  <c r="S10"/>
  <c r="M10" i="3"/>
  <c r="M10" i="13"/>
  <c r="F10" i="18"/>
  <c r="M10" i="15"/>
  <c r="M10" i="18"/>
  <c r="T10"/>
  <c r="N10" i="3"/>
  <c r="N10" i="13"/>
  <c r="G10" i="18"/>
  <c r="N10" i="15"/>
  <c r="N10" i="18"/>
  <c r="U10"/>
  <c r="O10" i="3"/>
  <c r="O10" i="13"/>
  <c r="H10" i="18"/>
  <c r="O10" i="15"/>
  <c r="O10" i="18"/>
  <c r="V10"/>
  <c r="P10" i="3"/>
  <c r="P10" i="13"/>
  <c r="I10" i="18"/>
  <c r="P10" i="15"/>
  <c r="P10" i="18"/>
  <c r="W10"/>
  <c r="J11" i="3"/>
  <c r="J11" i="13"/>
  <c r="C11" i="18"/>
  <c r="J11" i="15"/>
  <c r="J11" i="18"/>
  <c r="Q11"/>
  <c r="K11" i="3"/>
  <c r="K11" i="13"/>
  <c r="D11" i="18"/>
  <c r="K11" i="15"/>
  <c r="K11" i="18"/>
  <c r="R11"/>
  <c r="L11" i="3"/>
  <c r="L11" i="13"/>
  <c r="E11" i="18"/>
  <c r="L11" i="15"/>
  <c r="L11" i="18"/>
  <c r="S11"/>
  <c r="M11" i="3"/>
  <c r="M11" i="13"/>
  <c r="F11" i="18"/>
  <c r="M11" i="15"/>
  <c r="M11" i="18"/>
  <c r="T11"/>
  <c r="N11" i="3"/>
  <c r="N11" i="13"/>
  <c r="G11" i="18"/>
  <c r="N11" i="15"/>
  <c r="N11" i="18"/>
  <c r="U11"/>
  <c r="O11" i="3"/>
  <c r="O11" i="13"/>
  <c r="H11" i="18"/>
  <c r="O11" i="15"/>
  <c r="O11" i="18"/>
  <c r="V11"/>
  <c r="P11" i="3"/>
  <c r="P11" i="13"/>
  <c r="I11" i="18"/>
  <c r="P11" i="15"/>
  <c r="P11" i="18"/>
  <c r="W11"/>
  <c r="J12" i="3"/>
  <c r="J12" i="13"/>
  <c r="C12" i="18"/>
  <c r="J12" i="15"/>
  <c r="J12" i="18"/>
  <c r="Q12"/>
  <c r="K12" i="3"/>
  <c r="K12" i="13"/>
  <c r="D12" i="18"/>
  <c r="K12" i="15"/>
  <c r="K12" i="18"/>
  <c r="R12"/>
  <c r="L12" i="3"/>
  <c r="L12" i="13"/>
  <c r="E12" i="18"/>
  <c r="L12" i="15"/>
  <c r="L12" i="18"/>
  <c r="S12"/>
  <c r="M12" i="3"/>
  <c r="M12" i="13"/>
  <c r="F12" i="18"/>
  <c r="M12" i="15"/>
  <c r="M12" i="18"/>
  <c r="T12"/>
  <c r="N12" i="3"/>
  <c r="N12" i="13"/>
  <c r="G12" i="18"/>
  <c r="N12" i="15"/>
  <c r="N12" i="18"/>
  <c r="U12"/>
  <c r="O12" i="3"/>
  <c r="O12" i="13"/>
  <c r="H12" i="18"/>
  <c r="O12" i="15"/>
  <c r="O12" i="18"/>
  <c r="V12"/>
  <c r="P12" i="3"/>
  <c r="P12" i="13"/>
  <c r="I12" i="18"/>
  <c r="P12" i="15"/>
  <c r="P12" i="18"/>
  <c r="W12"/>
  <c r="J13" i="3"/>
  <c r="J13" i="13"/>
  <c r="C13" i="18"/>
  <c r="J13" i="15"/>
  <c r="J13" i="18"/>
  <c r="Q13"/>
  <c r="K13" i="3"/>
  <c r="K13" i="13"/>
  <c r="D13" i="18"/>
  <c r="K13" i="15"/>
  <c r="K13" i="18"/>
  <c r="R13"/>
  <c r="L13" i="3"/>
  <c r="L13" i="13"/>
  <c r="E13" i="18"/>
  <c r="L13" i="15"/>
  <c r="L13" i="18"/>
  <c r="S13"/>
  <c r="M13" i="3"/>
  <c r="M13" i="13"/>
  <c r="F13" i="18"/>
  <c r="M13" i="15"/>
  <c r="M13" i="18"/>
  <c r="T13"/>
  <c r="N13" i="3"/>
  <c r="N13" i="13"/>
  <c r="G13" i="18"/>
  <c r="N13" i="15"/>
  <c r="N13" i="18"/>
  <c r="U13"/>
  <c r="O13" i="3"/>
  <c r="O13" i="13"/>
  <c r="H13" i="18"/>
  <c r="O13" i="15"/>
  <c r="O13" i="18"/>
  <c r="V13"/>
  <c r="P13" i="3"/>
  <c r="P13" i="13"/>
  <c r="I13" i="18"/>
  <c r="P13" i="15"/>
  <c r="P13" i="18"/>
  <c r="W13"/>
  <c r="J14" i="3"/>
  <c r="J14" i="13"/>
  <c r="C14" i="18"/>
  <c r="J14" i="15"/>
  <c r="J14" i="18"/>
  <c r="Q14"/>
  <c r="K14" i="3"/>
  <c r="K14" i="13"/>
  <c r="D14" i="18"/>
  <c r="K14" i="15"/>
  <c r="K14" i="18"/>
  <c r="R14"/>
  <c r="L14" i="3"/>
  <c r="L14" i="13"/>
  <c r="E14" i="18"/>
  <c r="L14" i="15"/>
  <c r="L14" i="18"/>
  <c r="S14"/>
  <c r="M14" i="3"/>
  <c r="M14" i="13"/>
  <c r="F14" i="18"/>
  <c r="M14" i="15"/>
  <c r="M14" i="18"/>
  <c r="T14"/>
  <c r="N14" i="3"/>
  <c r="N14" i="13"/>
  <c r="G14" i="18"/>
  <c r="N14" i="15"/>
  <c r="N14" i="18"/>
  <c r="U14"/>
  <c r="O14" i="3"/>
  <c r="O14" i="13"/>
  <c r="H14" i="18"/>
  <c r="O14" i="15"/>
  <c r="O14" i="18"/>
  <c r="V14"/>
  <c r="P14" i="3"/>
  <c r="P14" i="13"/>
  <c r="I14" i="18"/>
  <c r="P14" i="15"/>
  <c r="P14" i="18"/>
  <c r="W14"/>
  <c r="J15" i="3"/>
  <c r="J15" i="13"/>
  <c r="C15" i="18"/>
  <c r="J15" i="15"/>
  <c r="J15" i="18"/>
  <c r="Q15"/>
  <c r="K15" i="3"/>
  <c r="K15" i="13"/>
  <c r="D15" i="18"/>
  <c r="K15" i="15"/>
  <c r="K15" i="18"/>
  <c r="R15"/>
  <c r="L15" i="3"/>
  <c r="L15" i="13"/>
  <c r="E15" i="18"/>
  <c r="L15" i="15"/>
  <c r="L15" i="18"/>
  <c r="S15"/>
  <c r="M15" i="3"/>
  <c r="M15" i="13"/>
  <c r="F15" i="18"/>
  <c r="M15" i="15"/>
  <c r="M15" i="18"/>
  <c r="T15"/>
  <c r="N15" i="3"/>
  <c r="N15" i="13"/>
  <c r="G15" i="18"/>
  <c r="N15" i="15"/>
  <c r="N15" i="18"/>
  <c r="U15"/>
  <c r="O15" i="3"/>
  <c r="O15" i="13"/>
  <c r="H15" i="18"/>
  <c r="O15" i="15"/>
  <c r="O15" i="18"/>
  <c r="V15"/>
  <c r="P15" i="3"/>
  <c r="P15" i="13"/>
  <c r="I15" i="18"/>
  <c r="P15" i="15"/>
  <c r="P15" i="18"/>
  <c r="W15"/>
  <c r="J16" i="3"/>
  <c r="J16" i="13"/>
  <c r="C16" i="18"/>
  <c r="J16" i="15"/>
  <c r="J16" i="18"/>
  <c r="Q16"/>
  <c r="K16" i="3"/>
  <c r="K16" i="13"/>
  <c r="D16" i="18"/>
  <c r="K16" i="15"/>
  <c r="K16" i="18"/>
  <c r="R16"/>
  <c r="L16" i="3"/>
  <c r="L16" i="13"/>
  <c r="E16" i="18"/>
  <c r="L16" i="15"/>
  <c r="L16" i="18"/>
  <c r="S16"/>
  <c r="M16" i="3"/>
  <c r="M16" i="13"/>
  <c r="F16" i="18"/>
  <c r="M16" i="15"/>
  <c r="M16" i="18"/>
  <c r="T16"/>
  <c r="N16" i="3"/>
  <c r="N16" i="13"/>
  <c r="G16" i="18"/>
  <c r="N16" i="15"/>
  <c r="N16" i="18"/>
  <c r="U16"/>
  <c r="O16" i="3"/>
  <c r="O16" i="13"/>
  <c r="H16" i="18"/>
  <c r="O16" i="15"/>
  <c r="O16" i="18"/>
  <c r="V16"/>
  <c r="P16" i="3"/>
  <c r="P16" i="13"/>
  <c r="I16" i="18"/>
  <c r="P16" i="15"/>
  <c r="P16" i="18"/>
  <c r="W16"/>
  <c r="K8" i="3"/>
  <c r="K8" i="13"/>
  <c r="D8" i="18"/>
  <c r="K8" i="15"/>
  <c r="K8" i="18"/>
  <c r="R8"/>
  <c r="L8" i="3"/>
  <c r="L8" i="13"/>
  <c r="E8" i="18"/>
  <c r="L8" i="15"/>
  <c r="L8" i="18"/>
  <c r="S8"/>
  <c r="M8" i="3"/>
  <c r="M8" i="13"/>
  <c r="F8" i="18"/>
  <c r="M8" i="15"/>
  <c r="M8" i="18"/>
  <c r="T8"/>
  <c r="N8" i="3"/>
  <c r="N8" i="13"/>
  <c r="G8" i="18"/>
  <c r="N8" i="15"/>
  <c r="N8" i="18"/>
  <c r="U8"/>
  <c r="O8" i="3"/>
  <c r="O8" i="13"/>
  <c r="H8" i="18"/>
  <c r="O8" i="15"/>
  <c r="O8" i="18"/>
  <c r="V8"/>
  <c r="P8" i="3"/>
  <c r="P8" i="13"/>
  <c r="I8" i="18"/>
  <c r="P8" i="15"/>
  <c r="P8" i="18"/>
  <c r="W8"/>
  <c r="J8" i="3"/>
  <c r="J8" i="13"/>
  <c r="C8" i="18"/>
  <c r="J8" i="15"/>
  <c r="J8" i="18"/>
  <c r="Q8"/>
  <c r="P29" i="12"/>
  <c r="P27"/>
  <c r="P23"/>
  <c r="P22"/>
  <c r="P15"/>
  <c r="P14"/>
  <c r="P13"/>
  <c r="P12"/>
  <c r="P10"/>
  <c r="P39" i="3"/>
  <c r="O39"/>
  <c r="N39"/>
  <c r="M39"/>
  <c r="L39"/>
  <c r="K39"/>
  <c r="J39"/>
  <c r="P38"/>
  <c r="O38"/>
  <c r="N38"/>
  <c r="M38"/>
  <c r="L38"/>
  <c r="K38"/>
  <c r="J38"/>
  <c r="J20"/>
  <c r="K20"/>
  <c r="L20"/>
  <c r="M20"/>
  <c r="N20"/>
  <c r="O20"/>
  <c r="P20"/>
  <c r="J21"/>
  <c r="K21"/>
  <c r="L21"/>
  <c r="M21"/>
  <c r="N21"/>
  <c r="O21"/>
  <c r="P21"/>
  <c r="J22"/>
  <c r="K22"/>
  <c r="L22"/>
  <c r="M22"/>
  <c r="N22"/>
  <c r="O22"/>
  <c r="P22"/>
  <c r="J23"/>
  <c r="K23"/>
  <c r="L23"/>
  <c r="M23"/>
  <c r="N23"/>
  <c r="O23"/>
  <c r="P23"/>
  <c r="J24"/>
  <c r="K24"/>
  <c r="L24"/>
  <c r="M24"/>
  <c r="N24"/>
  <c r="O24"/>
  <c r="P24"/>
  <c r="J25"/>
  <c r="K25"/>
  <c r="L25"/>
  <c r="M25"/>
  <c r="N25"/>
  <c r="O25"/>
  <c r="P25"/>
  <c r="J26"/>
  <c r="K26"/>
  <c r="L26"/>
  <c r="M26"/>
  <c r="N26"/>
  <c r="O26"/>
  <c r="P26"/>
  <c r="J27"/>
  <c r="K27"/>
  <c r="L27"/>
  <c r="M27"/>
  <c r="N27"/>
  <c r="O27"/>
  <c r="P27"/>
  <c r="J28"/>
  <c r="K28"/>
  <c r="L28"/>
  <c r="M28"/>
  <c r="N28"/>
  <c r="O28"/>
  <c r="P28"/>
  <c r="J29"/>
  <c r="K29"/>
  <c r="L29"/>
  <c r="M29"/>
  <c r="N29"/>
  <c r="O29"/>
  <c r="P29"/>
  <c r="J30"/>
  <c r="K30"/>
  <c r="L30"/>
  <c r="M30"/>
  <c r="N30"/>
  <c r="O30"/>
  <c r="P30"/>
  <c r="J31"/>
  <c r="K31"/>
  <c r="L31"/>
  <c r="M31"/>
  <c r="N31"/>
  <c r="O31"/>
  <c r="P31"/>
  <c r="J32"/>
  <c r="K32"/>
  <c r="L32"/>
  <c r="M32"/>
  <c r="N32"/>
  <c r="O32"/>
  <c r="P32"/>
  <c r="J33"/>
  <c r="K33"/>
  <c r="L33"/>
  <c r="M33"/>
  <c r="N33"/>
  <c r="O33"/>
  <c r="P33"/>
  <c r="J34"/>
  <c r="K34"/>
  <c r="L34"/>
  <c r="M34"/>
  <c r="N34"/>
  <c r="O34"/>
  <c r="P34"/>
  <c r="J35"/>
  <c r="K35"/>
  <c r="L35"/>
  <c r="M35"/>
  <c r="N35"/>
  <c r="O35"/>
  <c r="P35"/>
  <c r="K19"/>
  <c r="L19"/>
  <c r="M19"/>
  <c r="N19"/>
  <c r="O19"/>
  <c r="P19"/>
  <c r="J19"/>
  <c r="J7"/>
  <c r="K7"/>
  <c r="L7"/>
  <c r="M7"/>
  <c r="N7"/>
  <c r="O7"/>
  <c r="P7"/>
  <c r="K6"/>
  <c r="L6"/>
  <c r="M6"/>
  <c r="N6"/>
  <c r="O6"/>
  <c r="P6"/>
  <c r="J6"/>
  <c r="P29" i="20"/>
  <c r="P27"/>
  <c r="P23"/>
  <c r="P22"/>
  <c r="P15"/>
  <c r="P14"/>
  <c r="P13"/>
  <c r="P12"/>
  <c r="P10"/>
  <c r="I23" i="14"/>
  <c r="I37" i="6"/>
  <c r="I38" i="8"/>
  <c r="I38" i="7"/>
  <c r="I38" i="17"/>
  <c r="I39" i="8"/>
  <c r="I39" i="7"/>
  <c r="I39" i="17"/>
  <c r="H30" i="8"/>
  <c r="H30" i="7"/>
  <c r="H30" i="17"/>
  <c r="I30" i="8"/>
  <c r="I30" i="7"/>
  <c r="I30" i="17"/>
  <c r="H31" i="8"/>
  <c r="H31" i="7"/>
  <c r="H31" i="17"/>
  <c r="I31" i="8"/>
  <c r="I31" i="7"/>
  <c r="I31" i="17"/>
  <c r="H32" i="8"/>
  <c r="H32" i="7"/>
  <c r="H32" i="17"/>
  <c r="I32" i="8"/>
  <c r="I32" i="7"/>
  <c r="I32" i="17"/>
  <c r="H33" i="8"/>
  <c r="H33" i="7"/>
  <c r="H33" i="17"/>
  <c r="I33" i="8"/>
  <c r="I33" i="7"/>
  <c r="I33" i="17"/>
  <c r="H34" i="8"/>
  <c r="H34" i="7"/>
  <c r="H34" i="17"/>
  <c r="H35" i="8"/>
  <c r="H35" i="7"/>
  <c r="H35" i="17"/>
  <c r="I35" i="8"/>
  <c r="I35" i="7"/>
  <c r="I35" i="17"/>
  <c r="H20" i="8"/>
  <c r="H20" i="7"/>
  <c r="H20" i="17"/>
  <c r="I20" i="8"/>
  <c r="I20" i="7"/>
  <c r="I20" i="17"/>
  <c r="H21" i="8"/>
  <c r="H21" i="7"/>
  <c r="H21" i="17"/>
  <c r="I21" i="8"/>
  <c r="I21" i="7"/>
  <c r="I21" i="17"/>
  <c r="H22" i="8"/>
  <c r="H22" i="7"/>
  <c r="H22" i="17"/>
  <c r="I22" i="8"/>
  <c r="I22" i="7"/>
  <c r="H23" i="8"/>
  <c r="H23" i="7"/>
  <c r="H23" i="17"/>
  <c r="I23" i="8"/>
  <c r="I23" i="7"/>
  <c r="I23" i="17"/>
  <c r="H24" i="8"/>
  <c r="H24" i="7"/>
  <c r="H24" i="17"/>
  <c r="I24" i="8"/>
  <c r="I24" i="7"/>
  <c r="I24" i="17"/>
  <c r="H25" i="8"/>
  <c r="H25" i="7"/>
  <c r="H25" i="17"/>
  <c r="I25" i="8"/>
  <c r="I25" i="7"/>
  <c r="I25" i="17"/>
  <c r="H26" i="8"/>
  <c r="H26" i="7"/>
  <c r="H26" i="17"/>
  <c r="I26" i="8"/>
  <c r="I26" i="7"/>
  <c r="I26" i="17"/>
  <c r="H27" i="8"/>
  <c r="H27" i="7"/>
  <c r="H27" i="17"/>
  <c r="I27" i="8"/>
  <c r="I27" i="7"/>
  <c r="I27" i="17"/>
  <c r="H28" i="8"/>
  <c r="H28" i="7"/>
  <c r="H28" i="17"/>
  <c r="I28" i="8"/>
  <c r="I28" i="7"/>
  <c r="I28" i="17"/>
  <c r="H29" i="8"/>
  <c r="H29" i="7"/>
  <c r="H29" i="17"/>
  <c r="I29" i="8"/>
  <c r="I29" i="7"/>
  <c r="I29" i="17"/>
  <c r="I19" i="8"/>
  <c r="I19" i="7"/>
  <c r="I19" i="17"/>
  <c r="H7" i="8"/>
  <c r="H7" i="7"/>
  <c r="H7" i="17"/>
  <c r="I7" i="8"/>
  <c r="I7" i="7"/>
  <c r="I7" i="17"/>
  <c r="H8" i="8"/>
  <c r="H8" i="7"/>
  <c r="H8" i="17"/>
  <c r="I8" i="8"/>
  <c r="I8" i="7"/>
  <c r="I8" i="17"/>
  <c r="H9" i="8"/>
  <c r="H9" i="7"/>
  <c r="H9" i="17"/>
  <c r="I9" i="8"/>
  <c r="I9" i="7"/>
  <c r="I9" i="17"/>
  <c r="H10" i="8"/>
  <c r="H10" i="7"/>
  <c r="H10" i="17"/>
  <c r="I10" i="8"/>
  <c r="I10" i="7"/>
  <c r="I10" i="17"/>
  <c r="H11" i="8"/>
  <c r="H11" i="7"/>
  <c r="H11" i="17"/>
  <c r="I11" i="8"/>
  <c r="I11" i="7"/>
  <c r="I11" i="17"/>
  <c r="H12" i="8"/>
  <c r="H12" i="7"/>
  <c r="H12" i="17"/>
  <c r="I12" i="8"/>
  <c r="I12" i="7"/>
  <c r="I12" i="17"/>
  <c r="H13" i="8"/>
  <c r="H13" i="7"/>
  <c r="H13" i="17"/>
  <c r="I13" i="8"/>
  <c r="I13" i="7"/>
  <c r="I13" i="17"/>
  <c r="H14" i="8"/>
  <c r="H14" i="7"/>
  <c r="H14" i="17"/>
  <c r="I14" i="8"/>
  <c r="I14" i="7"/>
  <c r="I14" i="17"/>
  <c r="H15" i="8"/>
  <c r="H15" i="7"/>
  <c r="H15" i="17"/>
  <c r="I15" i="8"/>
  <c r="I15" i="7"/>
  <c r="I15" i="17"/>
  <c r="H16" i="8"/>
  <c r="H16" i="7"/>
  <c r="H16" i="17"/>
  <c r="I16" i="8"/>
  <c r="I16" i="7"/>
  <c r="I16" i="17"/>
  <c r="I6" i="8"/>
  <c r="I6" i="7"/>
  <c r="I6" i="17"/>
  <c r="N17" i="10"/>
  <c r="O17"/>
  <c r="P17"/>
  <c r="K17"/>
  <c r="K36"/>
  <c r="K40"/>
  <c r="K42"/>
  <c r="L42"/>
  <c r="M42"/>
  <c r="N42"/>
  <c r="J17"/>
  <c r="J36"/>
  <c r="J40"/>
  <c r="J42"/>
  <c r="O39" i="8"/>
  <c r="P39"/>
  <c r="P38"/>
  <c r="P20"/>
  <c r="P21"/>
  <c r="P22"/>
  <c r="P23"/>
  <c r="P24"/>
  <c r="P25"/>
  <c r="P26"/>
  <c r="P27"/>
  <c r="P28"/>
  <c r="P29"/>
  <c r="P30"/>
  <c r="P31"/>
  <c r="P32"/>
  <c r="P33"/>
  <c r="P34"/>
  <c r="P35"/>
  <c r="P19"/>
  <c r="O7"/>
  <c r="P7"/>
  <c r="O8"/>
  <c r="P8"/>
  <c r="O9"/>
  <c r="P9"/>
  <c r="O10"/>
  <c r="P10"/>
  <c r="O11"/>
  <c r="P11"/>
  <c r="O12"/>
  <c r="P12"/>
  <c r="O13"/>
  <c r="P13"/>
  <c r="O14"/>
  <c r="P14"/>
  <c r="O15"/>
  <c r="P15"/>
  <c r="O16"/>
  <c r="P16"/>
  <c r="P6"/>
  <c r="J36" i="12"/>
  <c r="D9" i="38"/>
  <c r="E9"/>
  <c r="F9"/>
  <c r="G9"/>
  <c r="H9"/>
  <c r="I9"/>
  <c r="C9"/>
  <c r="D6"/>
  <c r="E6"/>
  <c r="F6"/>
  <c r="G6"/>
  <c r="H6"/>
  <c r="I6"/>
  <c r="C6"/>
  <c r="C25" i="6"/>
  <c r="D25"/>
  <c r="E25"/>
  <c r="F25"/>
  <c r="G25"/>
  <c r="I19" i="14"/>
  <c r="C19" i="6"/>
  <c r="D19"/>
  <c r="E19"/>
  <c r="F19"/>
  <c r="G19"/>
  <c r="H19"/>
  <c r="I19"/>
  <c r="P18" i="5"/>
  <c r="P37"/>
  <c r="P40" i="19"/>
  <c r="P36"/>
  <c r="P17"/>
  <c r="I40"/>
  <c r="I36"/>
  <c r="I17"/>
  <c r="P6" i="15"/>
  <c r="P6" i="18"/>
  <c r="I10" i="15"/>
  <c r="W10"/>
  <c r="P6" i="17"/>
  <c r="P7" i="15"/>
  <c r="P7" i="18"/>
  <c r="P8" i="17"/>
  <c r="P10"/>
  <c r="P12"/>
  <c r="P14"/>
  <c r="P16"/>
  <c r="P17" i="15"/>
  <c r="P19"/>
  <c r="P19" i="17"/>
  <c r="P20" i="15"/>
  <c r="P20" i="18"/>
  <c r="P21" i="15"/>
  <c r="P21" i="17"/>
  <c r="P22" i="15"/>
  <c r="P22" i="18"/>
  <c r="P23" i="15"/>
  <c r="P23" i="17"/>
  <c r="P24" i="15"/>
  <c r="P24" i="18"/>
  <c r="P25" i="15"/>
  <c r="P25" i="17"/>
  <c r="P26" i="15"/>
  <c r="P26" i="18"/>
  <c r="P27" i="15"/>
  <c r="P27" i="17"/>
  <c r="P28" i="15"/>
  <c r="P28" i="18"/>
  <c r="P29" i="15"/>
  <c r="P29" i="17"/>
  <c r="P30" i="15"/>
  <c r="P30" i="18"/>
  <c r="P31" i="15"/>
  <c r="P31" i="17"/>
  <c r="P32" i="15"/>
  <c r="P32" i="18"/>
  <c r="P33" i="15"/>
  <c r="P33" i="17"/>
  <c r="P34" i="15"/>
  <c r="P34" i="18"/>
  <c r="P35" i="15"/>
  <c r="P35" i="17"/>
  <c r="P36" i="15"/>
  <c r="P38"/>
  <c r="P38" i="17"/>
  <c r="P39" i="15"/>
  <c r="P40"/>
  <c r="P42"/>
  <c r="I6"/>
  <c r="W6"/>
  <c r="I7"/>
  <c r="W7"/>
  <c r="I8"/>
  <c r="W8"/>
  <c r="I9"/>
  <c r="W9"/>
  <c r="I11"/>
  <c r="W11"/>
  <c r="I12"/>
  <c r="W12"/>
  <c r="I13"/>
  <c r="I14"/>
  <c r="W14"/>
  <c r="I15"/>
  <c r="W15"/>
  <c r="I16"/>
  <c r="W16"/>
  <c r="I19"/>
  <c r="W19"/>
  <c r="I20"/>
  <c r="W20"/>
  <c r="I21"/>
  <c r="W21"/>
  <c r="I22"/>
  <c r="I23"/>
  <c r="I24"/>
  <c r="I25"/>
  <c r="W25"/>
  <c r="I26"/>
  <c r="W26"/>
  <c r="I27"/>
  <c r="W27"/>
  <c r="I28"/>
  <c r="W28"/>
  <c r="I29"/>
  <c r="I30"/>
  <c r="W30"/>
  <c r="I31"/>
  <c r="I32"/>
  <c r="W32"/>
  <c r="I33"/>
  <c r="I34"/>
  <c r="I35"/>
  <c r="W35"/>
  <c r="I38"/>
  <c r="W38"/>
  <c r="I39"/>
  <c r="I10" i="14"/>
  <c r="P10"/>
  <c r="I13"/>
  <c r="P13"/>
  <c r="P23"/>
  <c r="I31"/>
  <c r="P31"/>
  <c r="I6"/>
  <c r="I7"/>
  <c r="I8"/>
  <c r="I9"/>
  <c r="I11"/>
  <c r="P11"/>
  <c r="I12"/>
  <c r="I14"/>
  <c r="I15"/>
  <c r="I16"/>
  <c r="I20"/>
  <c r="I21"/>
  <c r="I22"/>
  <c r="P22"/>
  <c r="I24"/>
  <c r="P24"/>
  <c r="I25"/>
  <c r="I26"/>
  <c r="P26"/>
  <c r="I27"/>
  <c r="I28"/>
  <c r="P28"/>
  <c r="I29"/>
  <c r="P29"/>
  <c r="I30"/>
  <c r="P30"/>
  <c r="I32"/>
  <c r="I33"/>
  <c r="P33"/>
  <c r="I34"/>
  <c r="P34"/>
  <c r="I35"/>
  <c r="I38"/>
  <c r="I39"/>
  <c r="I40" i="13"/>
  <c r="I36"/>
  <c r="I17"/>
  <c r="I10" i="11"/>
  <c r="I10" i="12"/>
  <c r="W10"/>
  <c r="I13" i="11"/>
  <c r="I13" i="12"/>
  <c r="W13"/>
  <c r="I31" i="11"/>
  <c r="I31" i="12"/>
  <c r="W31"/>
  <c r="P40"/>
  <c r="P36"/>
  <c r="P17"/>
  <c r="I6" i="11"/>
  <c r="I6" i="12"/>
  <c r="W6"/>
  <c r="I7" i="11"/>
  <c r="I8"/>
  <c r="I8" i="12"/>
  <c r="I9" i="11"/>
  <c r="I9" i="12"/>
  <c r="W9"/>
  <c r="I11" i="11"/>
  <c r="I11" i="12"/>
  <c r="W11"/>
  <c r="I12" i="11"/>
  <c r="I14"/>
  <c r="I14" i="12"/>
  <c r="W14"/>
  <c r="I15" i="11"/>
  <c r="I15" i="12"/>
  <c r="W15"/>
  <c r="I16" i="11"/>
  <c r="I19"/>
  <c r="I19" i="12"/>
  <c r="W19"/>
  <c r="I20" i="11"/>
  <c r="I20" i="12"/>
  <c r="W20"/>
  <c r="I21" i="11"/>
  <c r="I22"/>
  <c r="I22" i="12"/>
  <c r="W22"/>
  <c r="I23" i="11"/>
  <c r="I23" i="12"/>
  <c r="W23"/>
  <c r="I24" i="11"/>
  <c r="I24" i="12"/>
  <c r="W24"/>
  <c r="I25" i="11"/>
  <c r="I25" i="12"/>
  <c r="W25"/>
  <c r="I26" i="11"/>
  <c r="I27"/>
  <c r="I28"/>
  <c r="I28" i="12"/>
  <c r="W28"/>
  <c r="I29" i="11"/>
  <c r="I29" i="12"/>
  <c r="W29"/>
  <c r="I30" i="11"/>
  <c r="I30" i="12"/>
  <c r="W30"/>
  <c r="I32" i="11"/>
  <c r="I32" i="12"/>
  <c r="W32"/>
  <c r="I33" i="11"/>
  <c r="I33" i="12"/>
  <c r="W33"/>
  <c r="I34" i="11"/>
  <c r="I34" i="12"/>
  <c r="W34"/>
  <c r="I35" i="11"/>
  <c r="I35" i="12"/>
  <c r="W35"/>
  <c r="I38" i="11"/>
  <c r="I38" i="12"/>
  <c r="W38"/>
  <c r="I39" i="11"/>
  <c r="I10" i="9"/>
  <c r="I10" i="10"/>
  <c r="W10"/>
  <c r="I13" i="9"/>
  <c r="I13" i="10"/>
  <c r="W13"/>
  <c r="I31" i="9"/>
  <c r="I31" i="10"/>
  <c r="W31"/>
  <c r="P40"/>
  <c r="P36"/>
  <c r="I9" i="9"/>
  <c r="I9" i="10"/>
  <c r="W9"/>
  <c r="I6" i="9"/>
  <c r="I7"/>
  <c r="I8"/>
  <c r="I8" i="10"/>
  <c r="W8"/>
  <c r="I11" i="9"/>
  <c r="I11" i="10"/>
  <c r="W11"/>
  <c r="I12" i="9"/>
  <c r="I12" i="10"/>
  <c r="W12"/>
  <c r="I14" i="9"/>
  <c r="I14" i="10"/>
  <c r="W14"/>
  <c r="I15" i="9"/>
  <c r="I15" i="10"/>
  <c r="W15"/>
  <c r="I16" i="9"/>
  <c r="I16" i="10"/>
  <c r="W16"/>
  <c r="I19" i="9"/>
  <c r="I19" i="10"/>
  <c r="W19"/>
  <c r="I20" i="9"/>
  <c r="I20" i="10"/>
  <c r="W20"/>
  <c r="I21" i="9"/>
  <c r="I21" i="10"/>
  <c r="W21"/>
  <c r="I22" i="9"/>
  <c r="I22" i="10"/>
  <c r="W22"/>
  <c r="I23" i="9"/>
  <c r="I23" i="10"/>
  <c r="W23"/>
  <c r="I24" i="9"/>
  <c r="I24" i="10"/>
  <c r="W24"/>
  <c r="I25" i="9"/>
  <c r="I26"/>
  <c r="I26" i="10"/>
  <c r="W26"/>
  <c r="I27" i="9"/>
  <c r="I28"/>
  <c r="I29"/>
  <c r="I30"/>
  <c r="I32"/>
  <c r="I33"/>
  <c r="I34"/>
  <c r="I35"/>
  <c r="I36"/>
  <c r="I28" i="10"/>
  <c r="W28"/>
  <c r="I29"/>
  <c r="W29"/>
  <c r="I30"/>
  <c r="W30"/>
  <c r="I33"/>
  <c r="W33"/>
  <c r="I34"/>
  <c r="W34"/>
  <c r="I35"/>
  <c r="W35"/>
  <c r="I38" i="9"/>
  <c r="I38" i="10"/>
  <c r="W38"/>
  <c r="I39" i="9"/>
  <c r="W10" i="7"/>
  <c r="W13"/>
  <c r="W31"/>
  <c r="P40"/>
  <c r="P36"/>
  <c r="P17"/>
  <c r="W10" i="8"/>
  <c r="W13"/>
  <c r="W31"/>
  <c r="W23"/>
  <c r="W29"/>
  <c r="I34"/>
  <c r="I34" i="7"/>
  <c r="I34" i="17"/>
  <c r="W33" i="7"/>
  <c r="W34"/>
  <c r="W34" i="8"/>
  <c r="W33"/>
  <c r="W24" i="7"/>
  <c r="W24" i="8"/>
  <c r="P42" i="10"/>
  <c r="P17" i="18"/>
  <c r="P38"/>
  <c r="P39" i="17"/>
  <c r="P40"/>
  <c r="P39" i="18"/>
  <c r="P40"/>
  <c r="W33" i="15"/>
  <c r="W29"/>
  <c r="W23"/>
  <c r="P35" i="18"/>
  <c r="P33"/>
  <c r="P31"/>
  <c r="P29"/>
  <c r="P27"/>
  <c r="P25"/>
  <c r="P23"/>
  <c r="P21"/>
  <c r="P19"/>
  <c r="P36"/>
  <c r="W33" i="17"/>
  <c r="P34"/>
  <c r="P32"/>
  <c r="P30"/>
  <c r="P28"/>
  <c r="P26"/>
  <c r="P24"/>
  <c r="P22"/>
  <c r="P20"/>
  <c r="W34" i="15"/>
  <c r="W31"/>
  <c r="W24"/>
  <c r="W22"/>
  <c r="W34" i="17"/>
  <c r="W31"/>
  <c r="W24"/>
  <c r="P15"/>
  <c r="P13"/>
  <c r="W13"/>
  <c r="P11"/>
  <c r="P9"/>
  <c r="P7"/>
  <c r="P17"/>
  <c r="W13" i="15"/>
  <c r="P42" i="18"/>
  <c r="W10" i="17"/>
  <c r="I40" i="14"/>
  <c r="P38"/>
  <c r="I40" i="9"/>
  <c r="I40" i="15"/>
  <c r="W40"/>
  <c r="I40" i="11"/>
  <c r="W38" i="7"/>
  <c r="W38" i="17"/>
  <c r="I40" i="8"/>
  <c r="W38"/>
  <c r="P40"/>
  <c r="P9" i="14"/>
  <c r="W9" i="17"/>
  <c r="W9" i="7"/>
  <c r="W9" i="8"/>
  <c r="P15" i="14"/>
  <c r="W15" i="7"/>
  <c r="W15" i="8"/>
  <c r="P39" i="14"/>
  <c r="I39" i="10"/>
  <c r="W39"/>
  <c r="W39" i="15"/>
  <c r="I39" i="12"/>
  <c r="I42" i="19"/>
  <c r="P35" i="14"/>
  <c r="W35" i="17"/>
  <c r="W35" i="7"/>
  <c r="W35" i="8"/>
  <c r="P16" i="14"/>
  <c r="I16" i="12"/>
  <c r="W16"/>
  <c r="W16" i="17"/>
  <c r="W16" i="7"/>
  <c r="W16" i="8"/>
  <c r="P14" i="14"/>
  <c r="W14" i="17"/>
  <c r="W14" i="7"/>
  <c r="W14" i="8"/>
  <c r="P32" i="14"/>
  <c r="I32" i="10"/>
  <c r="W32"/>
  <c r="W32" i="17"/>
  <c r="W32" i="7"/>
  <c r="W32" i="8"/>
  <c r="W30" i="17"/>
  <c r="W30" i="7"/>
  <c r="W30" i="8"/>
  <c r="P12" i="14"/>
  <c r="I12" i="12"/>
  <c r="W12"/>
  <c r="W12" i="17"/>
  <c r="W12" i="7"/>
  <c r="I17" i="8"/>
  <c r="W12"/>
  <c r="P8" i="14"/>
  <c r="I17" i="15"/>
  <c r="W17"/>
  <c r="I17" i="9"/>
  <c r="W11" i="7"/>
  <c r="W11" i="8"/>
  <c r="W28" i="7"/>
  <c r="W28" i="17"/>
  <c r="W28" i="8"/>
  <c r="P27" i="14"/>
  <c r="I27" i="10"/>
  <c r="P25" i="14"/>
  <c r="I25" i="10"/>
  <c r="W25"/>
  <c r="W25" i="7"/>
  <c r="W25" i="17"/>
  <c r="W25" i="8"/>
  <c r="P21" i="14"/>
  <c r="I21" i="12"/>
  <c r="W21"/>
  <c r="W21" i="17"/>
  <c r="W21" i="7"/>
  <c r="W21" i="8"/>
  <c r="P20" i="14"/>
  <c r="I36"/>
  <c r="P19"/>
  <c r="I36" i="15"/>
  <c r="W36"/>
  <c r="I36" i="10"/>
  <c r="W36"/>
  <c r="W20" i="17"/>
  <c r="W20" i="7"/>
  <c r="W20" i="8"/>
  <c r="I36"/>
  <c r="P7" i="14"/>
  <c r="I7" i="10"/>
  <c r="W7"/>
  <c r="I7" i="12"/>
  <c r="W7"/>
  <c r="W7" i="7"/>
  <c r="W7" i="8"/>
  <c r="I17" i="14"/>
  <c r="P6"/>
  <c r="I6" i="10"/>
  <c r="I42" i="9"/>
  <c r="W6" i="17"/>
  <c r="W6" i="7"/>
  <c r="W6" i="8"/>
  <c r="I36" i="11"/>
  <c r="I26" i="12"/>
  <c r="W26"/>
  <c r="W8"/>
  <c r="I17"/>
  <c r="I17" i="11"/>
  <c r="I27" i="12"/>
  <c r="W27" i="17"/>
  <c r="W27" i="7"/>
  <c r="W27" i="8"/>
  <c r="W19" i="17"/>
  <c r="W19" i="7"/>
  <c r="W19" i="8"/>
  <c r="W8"/>
  <c r="W26" i="17"/>
  <c r="I36" i="7"/>
  <c r="W36"/>
  <c r="W26"/>
  <c r="W26" i="8"/>
  <c r="I36" i="17"/>
  <c r="P36" i="8"/>
  <c r="P42" i="19"/>
  <c r="P17" i="8"/>
  <c r="W17"/>
  <c r="W40"/>
  <c r="W39"/>
  <c r="I42" i="13"/>
  <c r="P42" i="12"/>
  <c r="I40" i="10"/>
  <c r="W40"/>
  <c r="P42" i="7"/>
  <c r="I42" i="8"/>
  <c r="I31" i="6"/>
  <c r="I36"/>
  <c r="H31"/>
  <c r="G31"/>
  <c r="F31"/>
  <c r="E31"/>
  <c r="D31"/>
  <c r="C31"/>
  <c r="W6"/>
  <c r="W7"/>
  <c r="W8"/>
  <c r="W9"/>
  <c r="W10"/>
  <c r="W11"/>
  <c r="W12"/>
  <c r="W13"/>
  <c r="W14"/>
  <c r="W15"/>
  <c r="W16"/>
  <c r="W19"/>
  <c r="W20"/>
  <c r="W21"/>
  <c r="W23"/>
  <c r="W24"/>
  <c r="W25"/>
  <c r="W26"/>
  <c r="W27"/>
  <c r="W28"/>
  <c r="W29"/>
  <c r="W30"/>
  <c r="W31"/>
  <c r="W32"/>
  <c r="W33"/>
  <c r="W34"/>
  <c r="W35"/>
  <c r="W38"/>
  <c r="W39"/>
  <c r="P40"/>
  <c r="P36"/>
  <c r="P17"/>
  <c r="I40"/>
  <c r="I17"/>
  <c r="W17"/>
  <c r="I40" i="5"/>
  <c r="I36"/>
  <c r="I17"/>
  <c r="I40" i="4"/>
  <c r="I36"/>
  <c r="I17"/>
  <c r="W27" i="10"/>
  <c r="I37"/>
  <c r="W29" i="17"/>
  <c r="W29" i="7"/>
  <c r="W23" i="17"/>
  <c r="W23" i="7"/>
  <c r="P36" i="17"/>
  <c r="P42"/>
  <c r="W36"/>
  <c r="W7"/>
  <c r="W11"/>
  <c r="W15"/>
  <c r="I40" i="12"/>
  <c r="W39"/>
  <c r="W40" i="6"/>
  <c r="I40" i="7"/>
  <c r="W40"/>
  <c r="W39"/>
  <c r="P36" i="14"/>
  <c r="I42" i="15"/>
  <c r="W42"/>
  <c r="I42" i="11"/>
  <c r="W36" i="8"/>
  <c r="P17" i="14"/>
  <c r="I42"/>
  <c r="I17" i="10"/>
  <c r="W17"/>
  <c r="W6"/>
  <c r="W27" i="12"/>
  <c r="I36"/>
  <c r="I42"/>
  <c r="I17" i="7"/>
  <c r="W8"/>
  <c r="P42" i="8"/>
  <c r="W42"/>
  <c r="P42" i="6"/>
  <c r="I42"/>
  <c r="W36"/>
  <c r="I42" i="5"/>
  <c r="I42" i="4"/>
  <c r="W6" i="3"/>
  <c r="W8"/>
  <c r="W10"/>
  <c r="W12"/>
  <c r="W14"/>
  <c r="W16"/>
  <c r="I40"/>
  <c r="I36"/>
  <c r="I17"/>
  <c r="P15" i="5"/>
  <c r="W15"/>
  <c r="P15" i="11"/>
  <c r="W15"/>
  <c r="P15" i="9"/>
  <c r="W15"/>
  <c r="P15" i="4"/>
  <c r="W15"/>
  <c r="P13" i="5"/>
  <c r="W13"/>
  <c r="P13" i="11"/>
  <c r="W13"/>
  <c r="P13" i="9"/>
  <c r="W13"/>
  <c r="P13" i="4"/>
  <c r="W13"/>
  <c r="P11" i="5"/>
  <c r="W11"/>
  <c r="P11" i="11"/>
  <c r="W11"/>
  <c r="P11" i="9"/>
  <c r="W11"/>
  <c r="P11" i="4"/>
  <c r="W11"/>
  <c r="P9" i="5"/>
  <c r="W9"/>
  <c r="P9" i="11"/>
  <c r="W9"/>
  <c r="P9" i="9"/>
  <c r="W9"/>
  <c r="P9" i="4"/>
  <c r="W9"/>
  <c r="P7" i="5"/>
  <c r="W7"/>
  <c r="P7" i="13"/>
  <c r="P7" i="11"/>
  <c r="W7"/>
  <c r="P7" i="9"/>
  <c r="W7"/>
  <c r="P7" i="4"/>
  <c r="W7"/>
  <c r="P16" i="5"/>
  <c r="W16"/>
  <c r="P16" i="11"/>
  <c r="W16"/>
  <c r="P16" i="9"/>
  <c r="W16"/>
  <c r="P16" i="4"/>
  <c r="W16"/>
  <c r="P14" i="5"/>
  <c r="W14"/>
  <c r="P14" i="11"/>
  <c r="W14"/>
  <c r="P14" i="9"/>
  <c r="W14"/>
  <c r="P14" i="4"/>
  <c r="W14"/>
  <c r="P12" i="5"/>
  <c r="W12"/>
  <c r="P12" i="11"/>
  <c r="W12"/>
  <c r="P12" i="9"/>
  <c r="W12"/>
  <c r="P12" i="4"/>
  <c r="W12"/>
  <c r="P10" i="5"/>
  <c r="W10"/>
  <c r="P10" i="11"/>
  <c r="W10"/>
  <c r="P10" i="9"/>
  <c r="W10"/>
  <c r="P10" i="4"/>
  <c r="W10"/>
  <c r="P8" i="5"/>
  <c r="W8"/>
  <c r="P8" i="11"/>
  <c r="W8"/>
  <c r="P8" i="9"/>
  <c r="W8"/>
  <c r="P8" i="4"/>
  <c r="W8"/>
  <c r="P6" i="5"/>
  <c r="P6" i="13"/>
  <c r="P6" i="11"/>
  <c r="P6" i="9"/>
  <c r="P6" i="4"/>
  <c r="W15" i="3"/>
  <c r="W13"/>
  <c r="W11"/>
  <c r="W9"/>
  <c r="W7"/>
  <c r="P38" i="5"/>
  <c r="P38" i="13"/>
  <c r="P38" i="11"/>
  <c r="W38"/>
  <c r="P38" i="9"/>
  <c r="W38"/>
  <c r="P38" i="4"/>
  <c r="W38"/>
  <c r="W38" i="3"/>
  <c r="P39" i="5"/>
  <c r="W39"/>
  <c r="P39" i="13"/>
  <c r="P39" i="11"/>
  <c r="P39" i="9"/>
  <c r="P39" i="4"/>
  <c r="W39" i="3"/>
  <c r="P35" i="5"/>
  <c r="W35"/>
  <c r="P35" i="11"/>
  <c r="W35"/>
  <c r="P35" i="13"/>
  <c r="P35" i="9"/>
  <c r="W35"/>
  <c r="P35" i="4"/>
  <c r="W35"/>
  <c r="P33" i="5"/>
  <c r="W33"/>
  <c r="P33" i="11"/>
  <c r="W33"/>
  <c r="P33" i="13"/>
  <c r="P33" i="9"/>
  <c r="W33"/>
  <c r="P33" i="4"/>
  <c r="W33"/>
  <c r="P31" i="5"/>
  <c r="W31"/>
  <c r="P31" i="11"/>
  <c r="W31"/>
  <c r="P31" i="13"/>
  <c r="P31" i="9"/>
  <c r="W31"/>
  <c r="P31" i="4"/>
  <c r="W31"/>
  <c r="P29" i="5"/>
  <c r="W29"/>
  <c r="P29" i="11"/>
  <c r="W29"/>
  <c r="P29" i="13"/>
  <c r="P29" i="9"/>
  <c r="W29"/>
  <c r="P29" i="4"/>
  <c r="W29"/>
  <c r="P27" i="5"/>
  <c r="W27"/>
  <c r="P27" i="11"/>
  <c r="W27"/>
  <c r="P27" i="13"/>
  <c r="P27" i="9"/>
  <c r="W27"/>
  <c r="P27" i="4"/>
  <c r="W27"/>
  <c r="P25" i="5"/>
  <c r="W25"/>
  <c r="P25" i="11"/>
  <c r="W25"/>
  <c r="P25" i="13"/>
  <c r="P25" i="9"/>
  <c r="W25"/>
  <c r="P25" i="4"/>
  <c r="W25"/>
  <c r="P23" i="5"/>
  <c r="W23"/>
  <c r="P23" i="11"/>
  <c r="W23"/>
  <c r="P23" i="13"/>
  <c r="P23" i="9"/>
  <c r="W23"/>
  <c r="P23" i="4"/>
  <c r="W23"/>
  <c r="P21" i="5"/>
  <c r="W21"/>
  <c r="P21" i="11"/>
  <c r="W21"/>
  <c r="P21" i="13"/>
  <c r="P21" i="9"/>
  <c r="W21"/>
  <c r="P21" i="4"/>
  <c r="W21"/>
  <c r="P19" i="5"/>
  <c r="P19" i="11"/>
  <c r="P19" i="13"/>
  <c r="P19" i="9"/>
  <c r="P19" i="4"/>
  <c r="W35" i="3"/>
  <c r="W33"/>
  <c r="W31"/>
  <c r="W29"/>
  <c r="W27"/>
  <c r="W25"/>
  <c r="W23"/>
  <c r="W21"/>
  <c r="W19"/>
  <c r="P34" i="5"/>
  <c r="W34"/>
  <c r="P34" i="13"/>
  <c r="P34" i="9"/>
  <c r="W34"/>
  <c r="P34" i="11"/>
  <c r="W34"/>
  <c r="P34" i="4"/>
  <c r="W34"/>
  <c r="P32" i="5"/>
  <c r="W32"/>
  <c r="P32" i="13"/>
  <c r="P32" i="9"/>
  <c r="W32"/>
  <c r="P32" i="11"/>
  <c r="W32"/>
  <c r="P32" i="4"/>
  <c r="W32"/>
  <c r="P30" i="5"/>
  <c r="W30"/>
  <c r="P30" i="13"/>
  <c r="P30" i="9"/>
  <c r="W30"/>
  <c r="P30" i="11"/>
  <c r="W30"/>
  <c r="P30" i="4"/>
  <c r="W30"/>
  <c r="P28" i="5"/>
  <c r="W28"/>
  <c r="P28" i="13"/>
  <c r="P28" i="9"/>
  <c r="W28"/>
  <c r="P28" i="11"/>
  <c r="W28"/>
  <c r="P28" i="4"/>
  <c r="W28"/>
  <c r="P26" i="5"/>
  <c r="W26"/>
  <c r="P26" i="13"/>
  <c r="P26" i="9"/>
  <c r="W26"/>
  <c r="P26" i="11"/>
  <c r="W26"/>
  <c r="P26" i="4"/>
  <c r="W26"/>
  <c r="P24" i="5"/>
  <c r="W24"/>
  <c r="P24" i="13"/>
  <c r="P24" i="9"/>
  <c r="W24"/>
  <c r="P24" i="11"/>
  <c r="W24"/>
  <c r="P24" i="4"/>
  <c r="W24"/>
  <c r="P22" i="5"/>
  <c r="W22"/>
  <c r="P22" i="13"/>
  <c r="P22" i="9"/>
  <c r="W22"/>
  <c r="P22" i="11"/>
  <c r="W22"/>
  <c r="P22" i="4"/>
  <c r="W22"/>
  <c r="P20" i="5"/>
  <c r="W20"/>
  <c r="P20" i="13"/>
  <c r="P20" i="9"/>
  <c r="W20"/>
  <c r="P20" i="11"/>
  <c r="W20"/>
  <c r="P20" i="4"/>
  <c r="W20"/>
  <c r="W34" i="3"/>
  <c r="W32"/>
  <c r="W30"/>
  <c r="W28"/>
  <c r="W26"/>
  <c r="W24"/>
  <c r="W22"/>
  <c r="W20"/>
  <c r="I40" i="17"/>
  <c r="W40"/>
  <c r="W39"/>
  <c r="I42" i="10"/>
  <c r="W42"/>
  <c r="W17" i="7"/>
  <c r="I42"/>
  <c r="W42"/>
  <c r="W8" i="17"/>
  <c r="I17"/>
  <c r="W42" i="6"/>
  <c r="I42" i="3"/>
  <c r="P40"/>
  <c r="W40"/>
  <c r="P17"/>
  <c r="W17"/>
  <c r="P36"/>
  <c r="W36"/>
  <c r="W6" i="2"/>
  <c r="W7"/>
  <c r="W8"/>
  <c r="W9"/>
  <c r="W10"/>
  <c r="W11"/>
  <c r="W12"/>
  <c r="W13"/>
  <c r="W14"/>
  <c r="W15"/>
  <c r="W16"/>
  <c r="W19"/>
  <c r="W20"/>
  <c r="W21"/>
  <c r="W22"/>
  <c r="W23"/>
  <c r="W24"/>
  <c r="W25"/>
  <c r="W26"/>
  <c r="W27"/>
  <c r="W28"/>
  <c r="W29"/>
  <c r="W30"/>
  <c r="W31"/>
  <c r="W32"/>
  <c r="W33"/>
  <c r="W34"/>
  <c r="W35"/>
  <c r="W38"/>
  <c r="W39"/>
  <c r="P40"/>
  <c r="P36"/>
  <c r="P17"/>
  <c r="I40"/>
  <c r="I36"/>
  <c r="I17"/>
  <c r="I6" i="1"/>
  <c r="I7"/>
  <c r="I8"/>
  <c r="I9"/>
  <c r="I10"/>
  <c r="I11"/>
  <c r="I12"/>
  <c r="I13"/>
  <c r="I14"/>
  <c r="I15"/>
  <c r="I16"/>
  <c r="I38"/>
  <c r="I39"/>
  <c r="I40"/>
  <c r="W19" i="20"/>
  <c r="W20" i="1"/>
  <c r="W21" i="20"/>
  <c r="W22" i="1"/>
  <c r="W23" i="20"/>
  <c r="W24" i="1"/>
  <c r="W25"/>
  <c r="W26"/>
  <c r="W27"/>
  <c r="W28"/>
  <c r="W29" i="20"/>
  <c r="W30" i="1"/>
  <c r="W31"/>
  <c r="W32"/>
  <c r="W33" i="20"/>
  <c r="W34" i="1"/>
  <c r="W35"/>
  <c r="W38" i="20"/>
  <c r="P40"/>
  <c r="W6"/>
  <c r="W7"/>
  <c r="W8" i="1"/>
  <c r="W9" i="20"/>
  <c r="W10" i="1"/>
  <c r="W11" i="20"/>
  <c r="W12"/>
  <c r="W13" i="1"/>
  <c r="W15" i="20"/>
  <c r="W16"/>
  <c r="I40"/>
  <c r="W40"/>
  <c r="I36"/>
  <c r="I17"/>
  <c r="P17"/>
  <c r="W17"/>
  <c r="W14"/>
  <c r="W10"/>
  <c r="W8"/>
  <c r="W15" i="1"/>
  <c r="W11"/>
  <c r="W9"/>
  <c r="W7"/>
  <c r="W6" i="4"/>
  <c r="P17"/>
  <c r="W17"/>
  <c r="P17" i="11"/>
  <c r="W6"/>
  <c r="P17" i="5"/>
  <c r="W17"/>
  <c r="W6"/>
  <c r="W8" i="13"/>
  <c r="W8" i="14"/>
  <c r="W12" i="13"/>
  <c r="W12" i="14"/>
  <c r="W16" i="13"/>
  <c r="W16" i="14"/>
  <c r="I7" i="18"/>
  <c r="W7"/>
  <c r="W7" i="13"/>
  <c r="W7" i="14"/>
  <c r="W11" i="13"/>
  <c r="W11" i="14"/>
  <c r="W15" i="13"/>
  <c r="W15" i="14"/>
  <c r="W13" i="20"/>
  <c r="W16" i="1"/>
  <c r="W14"/>
  <c r="W12"/>
  <c r="W6"/>
  <c r="P17" i="9"/>
  <c r="W17"/>
  <c r="W6"/>
  <c r="W6" i="13"/>
  <c r="P17"/>
  <c r="W17" i="14"/>
  <c r="I6" i="18"/>
  <c r="W6" i="14"/>
  <c r="W10"/>
  <c r="W10" i="13"/>
  <c r="W14"/>
  <c r="W14" i="14"/>
  <c r="W9" i="13"/>
  <c r="W9" i="14"/>
  <c r="W13"/>
  <c r="W13" i="13"/>
  <c r="W38" i="1"/>
  <c r="P40" i="4"/>
  <c r="W40"/>
  <c r="W39"/>
  <c r="P40" i="11"/>
  <c r="W39"/>
  <c r="P40" i="5"/>
  <c r="W40"/>
  <c r="W38"/>
  <c r="W39" i="20"/>
  <c r="W40" i="1"/>
  <c r="P40" i="9"/>
  <c r="W40"/>
  <c r="W39"/>
  <c r="P40" i="13"/>
  <c r="W40" i="14"/>
  <c r="I39" i="18"/>
  <c r="W39" i="13"/>
  <c r="W39" i="14"/>
  <c r="I38" i="18"/>
  <c r="W38"/>
  <c r="W38" i="13"/>
  <c r="W38" i="14"/>
  <c r="W28" i="20"/>
  <c r="W26"/>
  <c r="W24"/>
  <c r="W22"/>
  <c r="W20"/>
  <c r="W34"/>
  <c r="W32"/>
  <c r="W30"/>
  <c r="W21" i="1"/>
  <c r="W33"/>
  <c r="W29"/>
  <c r="W23"/>
  <c r="P42" i="3"/>
  <c r="W42"/>
  <c r="I22" i="18"/>
  <c r="W22"/>
  <c r="W22" i="14"/>
  <c r="W22" i="13"/>
  <c r="I26" i="18"/>
  <c r="W26"/>
  <c r="W26" i="13"/>
  <c r="W26" i="14"/>
  <c r="I30" i="18"/>
  <c r="W30"/>
  <c r="W30" i="13"/>
  <c r="W30" i="14"/>
  <c r="I34" i="18"/>
  <c r="W34"/>
  <c r="W34" i="14"/>
  <c r="W34" i="13"/>
  <c r="W19" i="4"/>
  <c r="P36"/>
  <c r="I19" i="18"/>
  <c r="W19" i="14"/>
  <c r="W19" i="13"/>
  <c r="P36"/>
  <c r="P36" i="5"/>
  <c r="W19"/>
  <c r="I23" i="18"/>
  <c r="W23"/>
  <c r="W23" i="14"/>
  <c r="W23" i="13"/>
  <c r="I27" i="18"/>
  <c r="W27"/>
  <c r="W27" i="13"/>
  <c r="W27" i="14"/>
  <c r="I31" i="18"/>
  <c r="W31"/>
  <c r="W31" i="13"/>
  <c r="W31" i="14"/>
  <c r="I35" i="18"/>
  <c r="W35"/>
  <c r="W35" i="13"/>
  <c r="W35" i="14"/>
  <c r="P36" i="20"/>
  <c r="W36"/>
  <c r="W27"/>
  <c r="W25"/>
  <c r="W35"/>
  <c r="W31"/>
  <c r="I20" i="18"/>
  <c r="W20"/>
  <c r="W20" i="13"/>
  <c r="W20" i="14"/>
  <c r="I24" i="18"/>
  <c r="W24"/>
  <c r="W24" i="14"/>
  <c r="W24" i="13"/>
  <c r="I28" i="18"/>
  <c r="W28"/>
  <c r="W28" i="13"/>
  <c r="W28" i="14"/>
  <c r="I32" i="18"/>
  <c r="W32"/>
  <c r="W32" i="13"/>
  <c r="W32" i="14"/>
  <c r="P36" i="9"/>
  <c r="W19"/>
  <c r="P36" i="11"/>
  <c r="P42"/>
  <c r="W19"/>
  <c r="I21" i="18"/>
  <c r="W21"/>
  <c r="W21" i="13"/>
  <c r="W21" i="14"/>
  <c r="I25" i="18"/>
  <c r="W25"/>
  <c r="W25" i="13"/>
  <c r="W25" i="14"/>
  <c r="I29" i="18"/>
  <c r="W29"/>
  <c r="W29" i="14"/>
  <c r="W29" i="13"/>
  <c r="I33" i="18"/>
  <c r="W33"/>
  <c r="W33" i="14"/>
  <c r="W33" i="13"/>
  <c r="W40" i="2"/>
  <c r="W39" i="1"/>
  <c r="I17"/>
  <c r="W17"/>
  <c r="W17" i="17"/>
  <c r="I42"/>
  <c r="W42"/>
  <c r="I36" i="1"/>
  <c r="W36"/>
  <c r="W19"/>
  <c r="W17" i="2"/>
  <c r="P42"/>
  <c r="I42"/>
  <c r="W36"/>
  <c r="I42" i="20"/>
  <c r="I17" i="18"/>
  <c r="W17"/>
  <c r="W6"/>
  <c r="I40"/>
  <c r="W40"/>
  <c r="W39"/>
  <c r="W36" i="9"/>
  <c r="P42"/>
  <c r="P42" i="20"/>
  <c r="P42" i="13"/>
  <c r="W42" i="14"/>
  <c r="W36"/>
  <c r="P42" i="4"/>
  <c r="W42"/>
  <c r="W36"/>
  <c r="W42" i="20"/>
  <c r="P42" i="5"/>
  <c r="W42"/>
  <c r="W36"/>
  <c r="W19" i="18"/>
  <c r="I36"/>
  <c r="I42" i="1"/>
  <c r="P36"/>
  <c r="P32"/>
  <c r="P6"/>
  <c r="P10"/>
  <c r="P14"/>
  <c r="P21"/>
  <c r="P25"/>
  <c r="P29"/>
  <c r="P33"/>
  <c r="P38"/>
  <c r="P19"/>
  <c r="W42" i="2"/>
  <c r="W36" i="18"/>
  <c r="I42"/>
  <c r="W42"/>
  <c r="P39" i="1"/>
  <c r="P28"/>
  <c r="P20"/>
  <c r="P40"/>
  <c r="P35"/>
  <c r="P31"/>
  <c r="P27"/>
  <c r="P23"/>
  <c r="P16"/>
  <c r="P12"/>
  <c r="P8"/>
  <c r="P42"/>
  <c r="P34"/>
  <c r="P30"/>
  <c r="P24"/>
  <c r="P11"/>
  <c r="P26"/>
  <c r="P22"/>
  <c r="P15"/>
  <c r="P7"/>
  <c r="P17"/>
  <c r="P13"/>
  <c r="P9"/>
  <c r="W42"/>
  <c r="H34" i="6"/>
  <c r="G34"/>
  <c r="F34"/>
  <c r="H8" i="1"/>
  <c r="G9" i="8"/>
  <c r="F24" i="6"/>
  <c r="G11" i="13"/>
  <c r="F11"/>
  <c r="N11" i="6"/>
  <c r="M11"/>
  <c r="J39" i="15"/>
  <c r="J39" i="17"/>
  <c r="K39" i="15"/>
  <c r="K39" i="18"/>
  <c r="L39" i="15"/>
  <c r="L39" i="17"/>
  <c r="M39" i="15"/>
  <c r="M39" i="18"/>
  <c r="N39" i="15"/>
  <c r="N39" i="17"/>
  <c r="O39" i="15"/>
  <c r="O39" i="17"/>
  <c r="K38" i="15"/>
  <c r="K38" i="18"/>
  <c r="L38" i="15"/>
  <c r="L38" i="17"/>
  <c r="M38" i="15"/>
  <c r="M38" i="18"/>
  <c r="N38" i="15"/>
  <c r="N38" i="17"/>
  <c r="O38" i="15"/>
  <c r="O38" i="17"/>
  <c r="J38" i="15"/>
  <c r="J38" i="18"/>
  <c r="J20" i="15"/>
  <c r="J20" i="17"/>
  <c r="K20" i="15"/>
  <c r="K20" i="18"/>
  <c r="L20" i="15"/>
  <c r="L20" i="17"/>
  <c r="M20" i="15"/>
  <c r="M20" i="18"/>
  <c r="N20" i="15"/>
  <c r="N20" i="17"/>
  <c r="O20" i="15"/>
  <c r="O20" i="18"/>
  <c r="J21" i="15"/>
  <c r="J21" i="18"/>
  <c r="K21" i="15"/>
  <c r="K21" i="17"/>
  <c r="L21" i="15"/>
  <c r="L21" i="18"/>
  <c r="M21" i="15"/>
  <c r="M21" i="18"/>
  <c r="N21" i="15"/>
  <c r="N21" i="17"/>
  <c r="O21" i="15"/>
  <c r="O21" i="17"/>
  <c r="J22" i="15"/>
  <c r="J22" i="17"/>
  <c r="K22" i="15"/>
  <c r="K22" i="18"/>
  <c r="L22" i="15"/>
  <c r="L22" i="17"/>
  <c r="M22" i="15"/>
  <c r="M22" i="18"/>
  <c r="N22" i="15"/>
  <c r="N22" i="17"/>
  <c r="O22" i="15"/>
  <c r="O22" i="18"/>
  <c r="J23" i="15"/>
  <c r="J23" i="18"/>
  <c r="K23" i="15"/>
  <c r="K23" i="17"/>
  <c r="L23" i="15"/>
  <c r="L23" i="18"/>
  <c r="M23" i="15"/>
  <c r="M23" i="18"/>
  <c r="N23" i="15"/>
  <c r="N23" i="17"/>
  <c r="O23" i="15"/>
  <c r="O23" i="17"/>
  <c r="J24" i="15"/>
  <c r="J24" i="17"/>
  <c r="K24" i="15"/>
  <c r="K24" i="18"/>
  <c r="L24" i="15"/>
  <c r="L24" i="17"/>
  <c r="M24" i="15"/>
  <c r="M24" i="18"/>
  <c r="N24" i="15"/>
  <c r="N24" i="17"/>
  <c r="O24" i="15"/>
  <c r="O24" i="18"/>
  <c r="J25" i="15"/>
  <c r="J25" i="18"/>
  <c r="K25" i="15"/>
  <c r="K25" i="17"/>
  <c r="L25" i="15"/>
  <c r="L25" i="18"/>
  <c r="M25" i="15"/>
  <c r="M25" i="18"/>
  <c r="N25" i="15"/>
  <c r="N25" i="17"/>
  <c r="O25" i="15"/>
  <c r="O25" i="17"/>
  <c r="J26" i="15"/>
  <c r="J26" i="17"/>
  <c r="K26" i="15"/>
  <c r="K26" i="18"/>
  <c r="L26" i="15"/>
  <c r="L26" i="17"/>
  <c r="M26" i="15"/>
  <c r="M26" i="18"/>
  <c r="N26" i="15"/>
  <c r="N26" i="17"/>
  <c r="O26" i="15"/>
  <c r="O26" i="18"/>
  <c r="J27" i="15"/>
  <c r="J27" i="18"/>
  <c r="K27" i="15"/>
  <c r="K27" i="17"/>
  <c r="L27" i="15"/>
  <c r="L27" i="18"/>
  <c r="M27" i="15"/>
  <c r="M27" i="18"/>
  <c r="N27" i="15"/>
  <c r="N27" i="17"/>
  <c r="O27" i="15"/>
  <c r="O27" i="17"/>
  <c r="J28" i="15"/>
  <c r="J28" i="17"/>
  <c r="K28" i="15"/>
  <c r="K28" i="18"/>
  <c r="L28" i="15"/>
  <c r="L28" i="17"/>
  <c r="M28" i="15"/>
  <c r="M28" i="18"/>
  <c r="N28" i="15"/>
  <c r="N28" i="17"/>
  <c r="O28" i="15"/>
  <c r="O28" i="18"/>
  <c r="J29" i="15"/>
  <c r="J29" i="18"/>
  <c r="K29" i="15"/>
  <c r="K29" i="17"/>
  <c r="L29" i="15"/>
  <c r="L29" i="18"/>
  <c r="M29" i="15"/>
  <c r="M29" i="18"/>
  <c r="N29" i="15"/>
  <c r="N29" i="17"/>
  <c r="O29" i="15"/>
  <c r="O29" i="17"/>
  <c r="J30" i="15"/>
  <c r="J30" i="17"/>
  <c r="K30" i="15"/>
  <c r="K30" i="18"/>
  <c r="L30" i="15"/>
  <c r="L30" i="17"/>
  <c r="M30" i="15"/>
  <c r="M30" i="18"/>
  <c r="N30" i="15"/>
  <c r="N30" i="17"/>
  <c r="O30" i="15"/>
  <c r="O30" i="18"/>
  <c r="J31" i="15"/>
  <c r="J31" i="18"/>
  <c r="K31" i="15"/>
  <c r="K31" i="17"/>
  <c r="L31" i="15"/>
  <c r="L31" i="18"/>
  <c r="M31" i="15"/>
  <c r="M31" i="18"/>
  <c r="N31" i="15"/>
  <c r="N31" i="17"/>
  <c r="O31" i="15"/>
  <c r="O31" i="17"/>
  <c r="J32" i="15"/>
  <c r="J32" i="17"/>
  <c r="K32" i="15"/>
  <c r="K32" i="18"/>
  <c r="L32" i="15"/>
  <c r="L32" i="17"/>
  <c r="M32" i="15"/>
  <c r="M32" i="18"/>
  <c r="N32" i="15"/>
  <c r="N32" i="17"/>
  <c r="O32" i="15"/>
  <c r="O32" i="18"/>
  <c r="J33" i="15"/>
  <c r="J33" i="18"/>
  <c r="K33" i="15"/>
  <c r="K33" i="17"/>
  <c r="L33" i="15"/>
  <c r="L33" i="18"/>
  <c r="M33" i="15"/>
  <c r="M33" i="18"/>
  <c r="N33" i="15"/>
  <c r="N33" i="17"/>
  <c r="O33" i="15"/>
  <c r="O33" i="17"/>
  <c r="J34" i="15"/>
  <c r="J34" i="17"/>
  <c r="K34" i="15"/>
  <c r="K34" i="18"/>
  <c r="L34" i="15"/>
  <c r="L34" i="17"/>
  <c r="M34" i="15"/>
  <c r="M34" i="18"/>
  <c r="N34" i="15"/>
  <c r="N34" i="17"/>
  <c r="O34" i="15"/>
  <c r="O34" i="18"/>
  <c r="J35" i="15"/>
  <c r="J35" i="18"/>
  <c r="K35" i="15"/>
  <c r="K35" i="17"/>
  <c r="L35" i="15"/>
  <c r="L35" i="18"/>
  <c r="M35" i="15"/>
  <c r="M35" i="18"/>
  <c r="N35" i="15"/>
  <c r="N35" i="17"/>
  <c r="O35" i="15"/>
  <c r="O35" i="17"/>
  <c r="K19" i="15"/>
  <c r="K19" i="17"/>
  <c r="L19" i="15"/>
  <c r="L19" i="18"/>
  <c r="M19" i="15"/>
  <c r="M19" i="18"/>
  <c r="N19" i="15"/>
  <c r="N19" i="18"/>
  <c r="O19" i="15"/>
  <c r="O19" i="17"/>
  <c r="J19" i="15"/>
  <c r="J19" i="17"/>
  <c r="J7" i="15"/>
  <c r="J7" i="18"/>
  <c r="K7" i="15"/>
  <c r="K7" i="17"/>
  <c r="L7" i="15"/>
  <c r="L7" i="18"/>
  <c r="M7" i="15"/>
  <c r="M7" i="18"/>
  <c r="N7" i="15"/>
  <c r="N7" i="17"/>
  <c r="O7" i="15"/>
  <c r="O7" i="17"/>
  <c r="J8"/>
  <c r="K8"/>
  <c r="L8"/>
  <c r="N8"/>
  <c r="O8"/>
  <c r="J9"/>
  <c r="K9"/>
  <c r="L9"/>
  <c r="N9"/>
  <c r="O9"/>
  <c r="J10"/>
  <c r="K10"/>
  <c r="L10"/>
  <c r="N10"/>
  <c r="O10"/>
  <c r="J11"/>
  <c r="K11"/>
  <c r="L11"/>
  <c r="N11"/>
  <c r="O11"/>
  <c r="J12"/>
  <c r="K12"/>
  <c r="L12"/>
  <c r="N12"/>
  <c r="J13"/>
  <c r="K13"/>
  <c r="L13"/>
  <c r="N13"/>
  <c r="O13"/>
  <c r="J14"/>
  <c r="K14"/>
  <c r="L14"/>
  <c r="N14"/>
  <c r="O14"/>
  <c r="J15"/>
  <c r="K15"/>
  <c r="L15"/>
  <c r="N15"/>
  <c r="O15"/>
  <c r="J16"/>
  <c r="K16"/>
  <c r="L16"/>
  <c r="N16"/>
  <c r="O16"/>
  <c r="K6" i="15"/>
  <c r="K6" i="17"/>
  <c r="L6" i="15"/>
  <c r="L6" i="17"/>
  <c r="M6" i="15"/>
  <c r="M6" i="18"/>
  <c r="N6" i="15"/>
  <c r="N6" i="17"/>
  <c r="O6" i="15"/>
  <c r="O6" i="17"/>
  <c r="J6" i="15"/>
  <c r="M38" i="8"/>
  <c r="N38"/>
  <c r="O38"/>
  <c r="M39"/>
  <c r="N39"/>
  <c r="L20"/>
  <c r="M20"/>
  <c r="N20"/>
  <c r="O20"/>
  <c r="L21"/>
  <c r="M21"/>
  <c r="N21"/>
  <c r="O21"/>
  <c r="L22"/>
  <c r="M22"/>
  <c r="N22"/>
  <c r="O22"/>
  <c r="L23"/>
  <c r="M23"/>
  <c r="N23"/>
  <c r="O23"/>
  <c r="L24"/>
  <c r="M24"/>
  <c r="N24"/>
  <c r="O24"/>
  <c r="L25"/>
  <c r="M25"/>
  <c r="N25"/>
  <c r="O25"/>
  <c r="L26"/>
  <c r="M26"/>
  <c r="N26"/>
  <c r="O26"/>
  <c r="L27"/>
  <c r="M27"/>
  <c r="N27"/>
  <c r="O27"/>
  <c r="L28"/>
  <c r="M28"/>
  <c r="N28"/>
  <c r="O28"/>
  <c r="L29"/>
  <c r="M29"/>
  <c r="N29"/>
  <c r="O29"/>
  <c r="L30"/>
  <c r="M30"/>
  <c r="N30"/>
  <c r="O30"/>
  <c r="L31"/>
  <c r="M31"/>
  <c r="N31"/>
  <c r="O31"/>
  <c r="L32"/>
  <c r="M32"/>
  <c r="N32"/>
  <c r="O32"/>
  <c r="L33"/>
  <c r="M33"/>
  <c r="N33"/>
  <c r="O33"/>
  <c r="L34"/>
  <c r="M34"/>
  <c r="N34"/>
  <c r="O34"/>
  <c r="L35"/>
  <c r="M35"/>
  <c r="N35"/>
  <c r="O35"/>
  <c r="M19"/>
  <c r="N19"/>
  <c r="O19"/>
  <c r="L7"/>
  <c r="M7"/>
  <c r="N7"/>
  <c r="L8"/>
  <c r="M8"/>
  <c r="N8"/>
  <c r="L9"/>
  <c r="M9"/>
  <c r="N9"/>
  <c r="U9"/>
  <c r="L10"/>
  <c r="M10"/>
  <c r="N10"/>
  <c r="L11"/>
  <c r="M11"/>
  <c r="N11"/>
  <c r="L12"/>
  <c r="M12"/>
  <c r="N12"/>
  <c r="L13"/>
  <c r="M13"/>
  <c r="N13"/>
  <c r="L14"/>
  <c r="M14"/>
  <c r="N14"/>
  <c r="L15"/>
  <c r="M15"/>
  <c r="N15"/>
  <c r="L16"/>
  <c r="M16"/>
  <c r="N16"/>
  <c r="O6"/>
  <c r="M6"/>
  <c r="N6"/>
  <c r="H29" i="6"/>
  <c r="G29"/>
  <c r="F29"/>
  <c r="E29"/>
  <c r="D29"/>
  <c r="C29"/>
  <c r="N40" i="19"/>
  <c r="O40"/>
  <c r="N36"/>
  <c r="O36"/>
  <c r="N17"/>
  <c r="N42"/>
  <c r="O17"/>
  <c r="G40"/>
  <c r="G36"/>
  <c r="G17"/>
  <c r="J39" i="13"/>
  <c r="C39" i="18"/>
  <c r="K39" i="5"/>
  <c r="R39"/>
  <c r="L39" i="13"/>
  <c r="E39" i="18"/>
  <c r="M39" i="5"/>
  <c r="T39"/>
  <c r="N39" i="13"/>
  <c r="O39"/>
  <c r="K38"/>
  <c r="D38" i="18"/>
  <c r="L38" i="5"/>
  <c r="M38"/>
  <c r="N38" i="4"/>
  <c r="O38" i="5"/>
  <c r="J38"/>
  <c r="J20" i="13"/>
  <c r="C20" i="18"/>
  <c r="K20" i="5"/>
  <c r="R20"/>
  <c r="L20" i="13"/>
  <c r="E20" i="18"/>
  <c r="M20" i="5"/>
  <c r="T20"/>
  <c r="N20" i="13"/>
  <c r="V20" i="3"/>
  <c r="J21" i="13"/>
  <c r="C21" i="18"/>
  <c r="K21" i="11"/>
  <c r="L21" i="13"/>
  <c r="E21" i="18"/>
  <c r="M21" i="11"/>
  <c r="N21" i="13"/>
  <c r="O21"/>
  <c r="J22"/>
  <c r="C22" i="18"/>
  <c r="K22" i="5"/>
  <c r="R22"/>
  <c r="L22" i="13"/>
  <c r="E22" i="18"/>
  <c r="M22" i="5"/>
  <c r="T22"/>
  <c r="N22" i="13"/>
  <c r="O22"/>
  <c r="H22" i="18"/>
  <c r="J23" i="13"/>
  <c r="C23" i="18"/>
  <c r="K23" i="5"/>
  <c r="R23"/>
  <c r="L23" i="13"/>
  <c r="E23" i="18"/>
  <c r="M23" i="5"/>
  <c r="T23"/>
  <c r="N23" i="13"/>
  <c r="O23"/>
  <c r="H23" i="18"/>
  <c r="J24" i="13"/>
  <c r="C24" i="18"/>
  <c r="K24" i="5"/>
  <c r="R24"/>
  <c r="L24" i="13"/>
  <c r="E24" i="18"/>
  <c r="M24" i="5"/>
  <c r="T24"/>
  <c r="N24" i="13"/>
  <c r="O24"/>
  <c r="H24" i="18"/>
  <c r="J25" i="13"/>
  <c r="C25" i="18"/>
  <c r="K25" i="11"/>
  <c r="L25" i="13"/>
  <c r="E25" i="18"/>
  <c r="M25" i="11"/>
  <c r="N25" i="13"/>
  <c r="O25" i="11"/>
  <c r="J26" i="13"/>
  <c r="C26" i="18"/>
  <c r="K26" i="5"/>
  <c r="R26"/>
  <c r="L26" i="13"/>
  <c r="E26" i="18"/>
  <c r="M26" i="5"/>
  <c r="T26"/>
  <c r="N26" i="13"/>
  <c r="O26"/>
  <c r="H26" i="18"/>
  <c r="J27" i="13"/>
  <c r="C27" i="18"/>
  <c r="K27" i="5"/>
  <c r="R27"/>
  <c r="L27" i="13"/>
  <c r="E27" i="18"/>
  <c r="M27" i="5"/>
  <c r="T27"/>
  <c r="N27" i="13"/>
  <c r="O27" i="11"/>
  <c r="J28" i="13"/>
  <c r="C28" i="18"/>
  <c r="K28" i="5"/>
  <c r="R28"/>
  <c r="L28" i="13"/>
  <c r="E28" i="18"/>
  <c r="M28" i="5"/>
  <c r="T28"/>
  <c r="N28" i="13"/>
  <c r="O28"/>
  <c r="J29"/>
  <c r="C29" i="18"/>
  <c r="K29" i="11"/>
  <c r="L29" i="13"/>
  <c r="E29" i="18"/>
  <c r="M29" i="11"/>
  <c r="N29" i="13"/>
  <c r="O29" i="11"/>
  <c r="J30" i="13"/>
  <c r="C30" i="18"/>
  <c r="K30" i="5"/>
  <c r="R30"/>
  <c r="L30" i="13"/>
  <c r="E30" i="18"/>
  <c r="M30" i="5"/>
  <c r="T30"/>
  <c r="N30" i="13"/>
  <c r="O30" i="11"/>
  <c r="J31" i="13"/>
  <c r="C31" i="18"/>
  <c r="K31" i="5"/>
  <c r="R31"/>
  <c r="L31" i="13"/>
  <c r="E31" i="18"/>
  <c r="M31" i="5"/>
  <c r="T31"/>
  <c r="N31" i="13"/>
  <c r="O31"/>
  <c r="J32"/>
  <c r="C32" i="18"/>
  <c r="K32" i="5"/>
  <c r="R32"/>
  <c r="L32" i="13"/>
  <c r="E32" i="18"/>
  <c r="M32" i="5"/>
  <c r="T32"/>
  <c r="N32" i="13"/>
  <c r="O32" i="11"/>
  <c r="J33" i="13"/>
  <c r="C33" i="18"/>
  <c r="K33" i="11"/>
  <c r="L33" i="13"/>
  <c r="E33" i="18"/>
  <c r="M33" i="11"/>
  <c r="N33" i="13"/>
  <c r="O33" i="11"/>
  <c r="J34" i="13"/>
  <c r="C34" i="18"/>
  <c r="K34" i="5"/>
  <c r="R34"/>
  <c r="L34" i="13"/>
  <c r="E34" i="18"/>
  <c r="M34" i="5"/>
  <c r="T34"/>
  <c r="N34" i="13"/>
  <c r="O34" i="11"/>
  <c r="J35" i="13"/>
  <c r="C35" i="18"/>
  <c r="K35" i="11"/>
  <c r="L35" i="13"/>
  <c r="E35" i="18"/>
  <c r="M35" i="11"/>
  <c r="N35" i="13"/>
  <c r="O35" i="11"/>
  <c r="K19"/>
  <c r="L19" i="13"/>
  <c r="E19" i="18"/>
  <c r="M19" i="11"/>
  <c r="N19" i="13"/>
  <c r="V19" i="3"/>
  <c r="J19" i="13"/>
  <c r="C19" i="18"/>
  <c r="J7" i="11"/>
  <c r="K7" i="13"/>
  <c r="L7" i="11"/>
  <c r="M7" i="13"/>
  <c r="N7" i="11"/>
  <c r="O7"/>
  <c r="O9"/>
  <c r="V11" i="3"/>
  <c r="O13" i="11"/>
  <c r="O14" i="4"/>
  <c r="V14"/>
  <c r="J15" i="11"/>
  <c r="L15"/>
  <c r="N15"/>
  <c r="J16" i="4"/>
  <c r="Q16"/>
  <c r="L16"/>
  <c r="S16"/>
  <c r="N16"/>
  <c r="U16"/>
  <c r="V16" i="3"/>
  <c r="K6" i="13"/>
  <c r="L6" i="5"/>
  <c r="M6" i="13"/>
  <c r="N6" i="5"/>
  <c r="J6"/>
  <c r="T39" i="20"/>
  <c r="V39"/>
  <c r="T20"/>
  <c r="V20"/>
  <c r="T21"/>
  <c r="V21"/>
  <c r="S22"/>
  <c r="U22"/>
  <c r="S23"/>
  <c r="U23"/>
  <c r="S24"/>
  <c r="U24"/>
  <c r="S25"/>
  <c r="U25"/>
  <c r="S26"/>
  <c r="U26"/>
  <c r="S27"/>
  <c r="U27"/>
  <c r="S28"/>
  <c r="U28"/>
  <c r="S29"/>
  <c r="U29"/>
  <c r="K36"/>
  <c r="N36"/>
  <c r="G19" i="1"/>
  <c r="G20"/>
  <c r="G21"/>
  <c r="G22"/>
  <c r="G23"/>
  <c r="G24"/>
  <c r="G25"/>
  <c r="G26"/>
  <c r="G27"/>
  <c r="G28"/>
  <c r="G29"/>
  <c r="G30"/>
  <c r="G31"/>
  <c r="G32"/>
  <c r="G33"/>
  <c r="G34"/>
  <c r="G35"/>
  <c r="G36"/>
  <c r="U36"/>
  <c r="S7" i="20"/>
  <c r="U7"/>
  <c r="V8" i="1"/>
  <c r="H10"/>
  <c r="V10"/>
  <c r="H13"/>
  <c r="V13"/>
  <c r="T14" i="20"/>
  <c r="V14"/>
  <c r="T15"/>
  <c r="V15"/>
  <c r="T16"/>
  <c r="V16"/>
  <c r="U6"/>
  <c r="C39" i="1"/>
  <c r="D39"/>
  <c r="E39"/>
  <c r="F39"/>
  <c r="G39"/>
  <c r="H39"/>
  <c r="D38"/>
  <c r="E38"/>
  <c r="F38"/>
  <c r="G38"/>
  <c r="H38"/>
  <c r="V38"/>
  <c r="C38"/>
  <c r="C20"/>
  <c r="D20"/>
  <c r="E20"/>
  <c r="F20"/>
  <c r="H20"/>
  <c r="C21"/>
  <c r="D21"/>
  <c r="E21"/>
  <c r="F21"/>
  <c r="H21"/>
  <c r="C22"/>
  <c r="D22"/>
  <c r="E22"/>
  <c r="F22"/>
  <c r="H22"/>
  <c r="C23"/>
  <c r="D23"/>
  <c r="E23"/>
  <c r="F23"/>
  <c r="H23"/>
  <c r="C24"/>
  <c r="D24"/>
  <c r="E24"/>
  <c r="F24"/>
  <c r="H24"/>
  <c r="C25"/>
  <c r="D25"/>
  <c r="E25"/>
  <c r="F25"/>
  <c r="H25"/>
  <c r="C26"/>
  <c r="D26"/>
  <c r="E26"/>
  <c r="F26"/>
  <c r="H26"/>
  <c r="C27"/>
  <c r="D27"/>
  <c r="E27"/>
  <c r="F27"/>
  <c r="H27"/>
  <c r="C28"/>
  <c r="D28"/>
  <c r="E28"/>
  <c r="F28"/>
  <c r="H28"/>
  <c r="C29"/>
  <c r="D29"/>
  <c r="E29"/>
  <c r="F29"/>
  <c r="H29"/>
  <c r="C30"/>
  <c r="D30"/>
  <c r="E30"/>
  <c r="F30"/>
  <c r="H30"/>
  <c r="C31"/>
  <c r="D31"/>
  <c r="E31"/>
  <c r="F31"/>
  <c r="H31"/>
  <c r="C32"/>
  <c r="D32"/>
  <c r="E32"/>
  <c r="F32"/>
  <c r="H32"/>
  <c r="C33"/>
  <c r="D33"/>
  <c r="E33"/>
  <c r="F33"/>
  <c r="H33"/>
  <c r="C34"/>
  <c r="D34"/>
  <c r="E34"/>
  <c r="F34"/>
  <c r="H34"/>
  <c r="C35"/>
  <c r="D35"/>
  <c r="E35"/>
  <c r="F35"/>
  <c r="H35"/>
  <c r="D19"/>
  <c r="E19"/>
  <c r="F19"/>
  <c r="H19"/>
  <c r="C19"/>
  <c r="C7"/>
  <c r="D7"/>
  <c r="E7"/>
  <c r="F7"/>
  <c r="G7"/>
  <c r="H7"/>
  <c r="V7"/>
  <c r="C8"/>
  <c r="D8"/>
  <c r="E8"/>
  <c r="F8"/>
  <c r="G8"/>
  <c r="C9"/>
  <c r="D9"/>
  <c r="E9"/>
  <c r="F9"/>
  <c r="G9"/>
  <c r="H9"/>
  <c r="V9"/>
  <c r="C10"/>
  <c r="D10"/>
  <c r="E10"/>
  <c r="F10"/>
  <c r="G10"/>
  <c r="C11"/>
  <c r="D11"/>
  <c r="E11"/>
  <c r="F11"/>
  <c r="G11"/>
  <c r="H11"/>
  <c r="V11"/>
  <c r="C12"/>
  <c r="D12"/>
  <c r="E12"/>
  <c r="F12"/>
  <c r="G12"/>
  <c r="H12"/>
  <c r="V12"/>
  <c r="C13"/>
  <c r="D13"/>
  <c r="E13"/>
  <c r="F13"/>
  <c r="G13"/>
  <c r="C14"/>
  <c r="D14"/>
  <c r="E14"/>
  <c r="F14"/>
  <c r="G14"/>
  <c r="H14"/>
  <c r="V14"/>
  <c r="C15"/>
  <c r="D15"/>
  <c r="E15"/>
  <c r="F15"/>
  <c r="G15"/>
  <c r="H15"/>
  <c r="V15"/>
  <c r="C16"/>
  <c r="D16"/>
  <c r="E16"/>
  <c r="F16"/>
  <c r="G16"/>
  <c r="H16"/>
  <c r="V16"/>
  <c r="D6"/>
  <c r="E6"/>
  <c r="F6"/>
  <c r="G6"/>
  <c r="H6"/>
  <c r="C6"/>
  <c r="C39" i="15"/>
  <c r="D39"/>
  <c r="D38"/>
  <c r="D40"/>
  <c r="E39"/>
  <c r="F39"/>
  <c r="G39"/>
  <c r="H39"/>
  <c r="E38"/>
  <c r="F38"/>
  <c r="G38"/>
  <c r="G40"/>
  <c r="H38"/>
  <c r="C38"/>
  <c r="C20"/>
  <c r="D20"/>
  <c r="E20"/>
  <c r="S20"/>
  <c r="F20"/>
  <c r="G20"/>
  <c r="U20"/>
  <c r="H20"/>
  <c r="V20"/>
  <c r="C21"/>
  <c r="D21"/>
  <c r="E21"/>
  <c r="S21"/>
  <c r="F21"/>
  <c r="G21"/>
  <c r="U21"/>
  <c r="H21"/>
  <c r="V21"/>
  <c r="C22"/>
  <c r="D22"/>
  <c r="E22"/>
  <c r="S22"/>
  <c r="F22"/>
  <c r="G22"/>
  <c r="U22"/>
  <c r="H22"/>
  <c r="V22"/>
  <c r="C23"/>
  <c r="D23"/>
  <c r="E23"/>
  <c r="S23"/>
  <c r="F23"/>
  <c r="G23"/>
  <c r="U23"/>
  <c r="H23"/>
  <c r="V23"/>
  <c r="C24"/>
  <c r="D24"/>
  <c r="E24"/>
  <c r="S24"/>
  <c r="F24"/>
  <c r="G24"/>
  <c r="U24"/>
  <c r="H24"/>
  <c r="V24"/>
  <c r="C25"/>
  <c r="D25"/>
  <c r="E25"/>
  <c r="S25"/>
  <c r="F25"/>
  <c r="T25"/>
  <c r="G25"/>
  <c r="U25"/>
  <c r="H25"/>
  <c r="C26"/>
  <c r="D26"/>
  <c r="E26"/>
  <c r="S26"/>
  <c r="F26"/>
  <c r="T26"/>
  <c r="G26"/>
  <c r="U26"/>
  <c r="H26"/>
  <c r="C27"/>
  <c r="D27"/>
  <c r="E27"/>
  <c r="S27"/>
  <c r="F27"/>
  <c r="T27"/>
  <c r="G27"/>
  <c r="U27"/>
  <c r="H27"/>
  <c r="C28"/>
  <c r="D28"/>
  <c r="E28"/>
  <c r="S28"/>
  <c r="F28"/>
  <c r="G28"/>
  <c r="U28"/>
  <c r="H28"/>
  <c r="V28"/>
  <c r="C29"/>
  <c r="D29"/>
  <c r="E29"/>
  <c r="S29"/>
  <c r="F29"/>
  <c r="G29"/>
  <c r="U29"/>
  <c r="H29"/>
  <c r="V29"/>
  <c r="C30"/>
  <c r="D30"/>
  <c r="E30"/>
  <c r="S30"/>
  <c r="F30"/>
  <c r="T30"/>
  <c r="G30"/>
  <c r="U30"/>
  <c r="H30"/>
  <c r="V30"/>
  <c r="C31"/>
  <c r="D31"/>
  <c r="E31"/>
  <c r="S31"/>
  <c r="F31"/>
  <c r="T31"/>
  <c r="G31"/>
  <c r="U31"/>
  <c r="H31"/>
  <c r="C32"/>
  <c r="D32"/>
  <c r="E32"/>
  <c r="S32"/>
  <c r="F32"/>
  <c r="T32"/>
  <c r="G32"/>
  <c r="U32"/>
  <c r="H32"/>
  <c r="C33"/>
  <c r="D33"/>
  <c r="E33"/>
  <c r="S33"/>
  <c r="F33"/>
  <c r="T33"/>
  <c r="G33"/>
  <c r="U33"/>
  <c r="H33"/>
  <c r="C34"/>
  <c r="D34"/>
  <c r="E34"/>
  <c r="S34"/>
  <c r="F34"/>
  <c r="T34"/>
  <c r="G34"/>
  <c r="U34"/>
  <c r="H34"/>
  <c r="C35"/>
  <c r="D35"/>
  <c r="E35"/>
  <c r="S35"/>
  <c r="F35"/>
  <c r="T35"/>
  <c r="G35"/>
  <c r="U35"/>
  <c r="H35"/>
  <c r="V35"/>
  <c r="D19"/>
  <c r="E19"/>
  <c r="F19"/>
  <c r="G19"/>
  <c r="H19"/>
  <c r="C19"/>
  <c r="C36"/>
  <c r="C7"/>
  <c r="D7"/>
  <c r="R7"/>
  <c r="E7"/>
  <c r="F7"/>
  <c r="G7"/>
  <c r="H7"/>
  <c r="C8"/>
  <c r="D8"/>
  <c r="R8"/>
  <c r="E8"/>
  <c r="F8"/>
  <c r="G8"/>
  <c r="H8"/>
  <c r="C9"/>
  <c r="D9"/>
  <c r="R9"/>
  <c r="E9"/>
  <c r="F9"/>
  <c r="G9"/>
  <c r="H9"/>
  <c r="C10"/>
  <c r="D10"/>
  <c r="R10"/>
  <c r="E10"/>
  <c r="F10"/>
  <c r="G10"/>
  <c r="H10"/>
  <c r="C11"/>
  <c r="D11"/>
  <c r="R11"/>
  <c r="E11"/>
  <c r="F11"/>
  <c r="T11"/>
  <c r="G11"/>
  <c r="H11"/>
  <c r="V11"/>
  <c r="C12"/>
  <c r="D12"/>
  <c r="R12"/>
  <c r="E12"/>
  <c r="F12"/>
  <c r="T12"/>
  <c r="G12"/>
  <c r="U12"/>
  <c r="H12"/>
  <c r="C13"/>
  <c r="D13"/>
  <c r="R13"/>
  <c r="E13"/>
  <c r="F13"/>
  <c r="G13"/>
  <c r="H13"/>
  <c r="C14"/>
  <c r="D14"/>
  <c r="R14"/>
  <c r="E14"/>
  <c r="F14"/>
  <c r="G14"/>
  <c r="H14"/>
  <c r="C15"/>
  <c r="D15"/>
  <c r="R15"/>
  <c r="E15"/>
  <c r="S15"/>
  <c r="F15"/>
  <c r="G15"/>
  <c r="H15"/>
  <c r="C16"/>
  <c r="D16"/>
  <c r="R16"/>
  <c r="E16"/>
  <c r="F16"/>
  <c r="G16"/>
  <c r="H16"/>
  <c r="D6"/>
  <c r="E6"/>
  <c r="F6"/>
  <c r="G6"/>
  <c r="H6"/>
  <c r="C6"/>
  <c r="S39"/>
  <c r="T39"/>
  <c r="U39"/>
  <c r="V39"/>
  <c r="T38"/>
  <c r="U38"/>
  <c r="V38"/>
  <c r="T20"/>
  <c r="T21"/>
  <c r="T22"/>
  <c r="T23"/>
  <c r="T24"/>
  <c r="V25"/>
  <c r="V26"/>
  <c r="T28"/>
  <c r="T29"/>
  <c r="V31"/>
  <c r="V32"/>
  <c r="V33"/>
  <c r="V34"/>
  <c r="T19"/>
  <c r="U19"/>
  <c r="S7"/>
  <c r="T7"/>
  <c r="U7"/>
  <c r="V7"/>
  <c r="S8"/>
  <c r="T8"/>
  <c r="U8"/>
  <c r="V8"/>
  <c r="S9"/>
  <c r="T9"/>
  <c r="U9"/>
  <c r="V9"/>
  <c r="S10"/>
  <c r="T10"/>
  <c r="U10"/>
  <c r="V10"/>
  <c r="S11"/>
  <c r="S12"/>
  <c r="T13"/>
  <c r="V13"/>
  <c r="T14"/>
  <c r="V14"/>
  <c r="T15"/>
  <c r="U15"/>
  <c r="V15"/>
  <c r="S16"/>
  <c r="T16"/>
  <c r="U16"/>
  <c r="V16"/>
  <c r="T6"/>
  <c r="U6"/>
  <c r="V6"/>
  <c r="N40"/>
  <c r="N17"/>
  <c r="G36"/>
  <c r="C39" i="14"/>
  <c r="D39"/>
  <c r="E39"/>
  <c r="L39"/>
  <c r="F39"/>
  <c r="M39"/>
  <c r="G39"/>
  <c r="N39"/>
  <c r="H39"/>
  <c r="O39"/>
  <c r="D38"/>
  <c r="E38"/>
  <c r="F38"/>
  <c r="M38"/>
  <c r="G38"/>
  <c r="N38"/>
  <c r="H38"/>
  <c r="O38"/>
  <c r="C38"/>
  <c r="C25"/>
  <c r="D25"/>
  <c r="E25"/>
  <c r="L25"/>
  <c r="F25"/>
  <c r="M25"/>
  <c r="G25"/>
  <c r="N25"/>
  <c r="H25"/>
  <c r="O25"/>
  <c r="C26"/>
  <c r="D26"/>
  <c r="E26"/>
  <c r="L26"/>
  <c r="F26"/>
  <c r="M26"/>
  <c r="G26"/>
  <c r="N26"/>
  <c r="H26"/>
  <c r="O26"/>
  <c r="C27"/>
  <c r="D27"/>
  <c r="E27"/>
  <c r="L27"/>
  <c r="F27"/>
  <c r="M27"/>
  <c r="G27"/>
  <c r="N27"/>
  <c r="H27"/>
  <c r="O27"/>
  <c r="C28"/>
  <c r="D28"/>
  <c r="E28"/>
  <c r="L28"/>
  <c r="F28"/>
  <c r="M28"/>
  <c r="G28"/>
  <c r="N28"/>
  <c r="H28"/>
  <c r="O28"/>
  <c r="C29"/>
  <c r="D29"/>
  <c r="E29"/>
  <c r="L29"/>
  <c r="F29"/>
  <c r="M29"/>
  <c r="G29"/>
  <c r="N29"/>
  <c r="H29"/>
  <c r="O29"/>
  <c r="C30"/>
  <c r="D30"/>
  <c r="E30"/>
  <c r="L30"/>
  <c r="F30"/>
  <c r="M30"/>
  <c r="G30"/>
  <c r="N30"/>
  <c r="H30"/>
  <c r="O30"/>
  <c r="C31"/>
  <c r="D31"/>
  <c r="E31"/>
  <c r="L31"/>
  <c r="F31"/>
  <c r="M31"/>
  <c r="G31"/>
  <c r="N31"/>
  <c r="H31"/>
  <c r="O31"/>
  <c r="C32"/>
  <c r="D32"/>
  <c r="E32"/>
  <c r="L32"/>
  <c r="F32"/>
  <c r="M32"/>
  <c r="G32"/>
  <c r="N32"/>
  <c r="H32"/>
  <c r="O32"/>
  <c r="C33"/>
  <c r="D33"/>
  <c r="E33"/>
  <c r="L33"/>
  <c r="F33"/>
  <c r="M33"/>
  <c r="G33"/>
  <c r="N33"/>
  <c r="H33"/>
  <c r="O33"/>
  <c r="C34"/>
  <c r="D34"/>
  <c r="E34"/>
  <c r="L34"/>
  <c r="F34"/>
  <c r="M34"/>
  <c r="G34"/>
  <c r="N34"/>
  <c r="H34"/>
  <c r="O34"/>
  <c r="C35"/>
  <c r="D35"/>
  <c r="E35"/>
  <c r="L35"/>
  <c r="F35"/>
  <c r="M35"/>
  <c r="G35"/>
  <c r="N35"/>
  <c r="H35"/>
  <c r="O35"/>
  <c r="C20"/>
  <c r="D20"/>
  <c r="E20"/>
  <c r="L20"/>
  <c r="F20"/>
  <c r="M20"/>
  <c r="G20"/>
  <c r="N20"/>
  <c r="H20"/>
  <c r="O20"/>
  <c r="C21"/>
  <c r="D21"/>
  <c r="E21"/>
  <c r="L21"/>
  <c r="F21"/>
  <c r="M21"/>
  <c r="G21"/>
  <c r="N21"/>
  <c r="H21"/>
  <c r="O21"/>
  <c r="C22"/>
  <c r="D22"/>
  <c r="E22"/>
  <c r="L22"/>
  <c r="F22"/>
  <c r="M22"/>
  <c r="G22"/>
  <c r="N22"/>
  <c r="H22"/>
  <c r="O22"/>
  <c r="C23"/>
  <c r="D23"/>
  <c r="E23"/>
  <c r="L23"/>
  <c r="F23"/>
  <c r="M23"/>
  <c r="G23"/>
  <c r="N23"/>
  <c r="H23"/>
  <c r="O23"/>
  <c r="C24"/>
  <c r="D24"/>
  <c r="E24"/>
  <c r="L24"/>
  <c r="F24"/>
  <c r="M24"/>
  <c r="G24"/>
  <c r="N24"/>
  <c r="H24"/>
  <c r="O24"/>
  <c r="D19"/>
  <c r="E19"/>
  <c r="F19"/>
  <c r="M19"/>
  <c r="G19"/>
  <c r="H19"/>
  <c r="O19"/>
  <c r="C19"/>
  <c r="C7"/>
  <c r="D7"/>
  <c r="E7"/>
  <c r="L7"/>
  <c r="F7"/>
  <c r="M7"/>
  <c r="G7"/>
  <c r="N7"/>
  <c r="H7"/>
  <c r="O7"/>
  <c r="C8"/>
  <c r="D8"/>
  <c r="E8"/>
  <c r="L8"/>
  <c r="F8"/>
  <c r="M8"/>
  <c r="G8"/>
  <c r="N8"/>
  <c r="H8"/>
  <c r="O8"/>
  <c r="C9"/>
  <c r="D9"/>
  <c r="E9"/>
  <c r="L9"/>
  <c r="F9"/>
  <c r="M9"/>
  <c r="G9"/>
  <c r="N9"/>
  <c r="H9"/>
  <c r="O9"/>
  <c r="C10"/>
  <c r="D10"/>
  <c r="E10"/>
  <c r="L10"/>
  <c r="F10"/>
  <c r="M10"/>
  <c r="G10"/>
  <c r="N10"/>
  <c r="H10"/>
  <c r="O10"/>
  <c r="C11"/>
  <c r="D11"/>
  <c r="E11"/>
  <c r="L11"/>
  <c r="F11"/>
  <c r="M11"/>
  <c r="G11"/>
  <c r="N11"/>
  <c r="H11"/>
  <c r="O11"/>
  <c r="C12"/>
  <c r="D12"/>
  <c r="E12"/>
  <c r="L12"/>
  <c r="F12"/>
  <c r="M12"/>
  <c r="G12"/>
  <c r="N12"/>
  <c r="H12"/>
  <c r="O12"/>
  <c r="C13"/>
  <c r="D13"/>
  <c r="E13"/>
  <c r="L13"/>
  <c r="F13"/>
  <c r="M13"/>
  <c r="G13"/>
  <c r="N13"/>
  <c r="H13"/>
  <c r="O13"/>
  <c r="C14"/>
  <c r="D14"/>
  <c r="E14"/>
  <c r="L14"/>
  <c r="F14"/>
  <c r="M14"/>
  <c r="G14"/>
  <c r="N14"/>
  <c r="H14"/>
  <c r="O14"/>
  <c r="C15"/>
  <c r="D15"/>
  <c r="E15"/>
  <c r="L15"/>
  <c r="F15"/>
  <c r="M15"/>
  <c r="G15"/>
  <c r="N15"/>
  <c r="H15"/>
  <c r="O15"/>
  <c r="C16"/>
  <c r="D16"/>
  <c r="E16"/>
  <c r="L16"/>
  <c r="F16"/>
  <c r="M16"/>
  <c r="G16"/>
  <c r="N16"/>
  <c r="H16"/>
  <c r="O16"/>
  <c r="D6"/>
  <c r="E6"/>
  <c r="L6"/>
  <c r="F6"/>
  <c r="M6"/>
  <c r="G6"/>
  <c r="N6"/>
  <c r="H6"/>
  <c r="O6"/>
  <c r="C6"/>
  <c r="G40"/>
  <c r="H40"/>
  <c r="H36"/>
  <c r="G40" i="13"/>
  <c r="G36"/>
  <c r="G17"/>
  <c r="O40" i="12"/>
  <c r="P40" i="14"/>
  <c r="O36" i="12"/>
  <c r="O17"/>
  <c r="C39" i="11"/>
  <c r="C39" i="12"/>
  <c r="D39" i="11"/>
  <c r="D39" i="12"/>
  <c r="E39" i="11"/>
  <c r="E39" i="12"/>
  <c r="S39"/>
  <c r="F39" i="11"/>
  <c r="F39" i="12"/>
  <c r="T39"/>
  <c r="G39" i="11"/>
  <c r="G39" i="12"/>
  <c r="U39"/>
  <c r="H39" i="11"/>
  <c r="H39" i="12"/>
  <c r="V39"/>
  <c r="D38" i="11"/>
  <c r="E38"/>
  <c r="E38" i="12"/>
  <c r="F38" i="11"/>
  <c r="G38"/>
  <c r="G38" i="12"/>
  <c r="U38"/>
  <c r="H38" i="11"/>
  <c r="C38"/>
  <c r="C38" i="12"/>
  <c r="C26" i="11"/>
  <c r="C26" i="12"/>
  <c r="D26" i="11"/>
  <c r="D26" i="12"/>
  <c r="E26" i="11"/>
  <c r="E26" i="12"/>
  <c r="S26"/>
  <c r="F26" i="11"/>
  <c r="F26" i="12"/>
  <c r="T26"/>
  <c r="G26" i="11"/>
  <c r="G26" i="12"/>
  <c r="U26"/>
  <c r="H26" i="11"/>
  <c r="H26" i="12"/>
  <c r="V26"/>
  <c r="C27" i="11"/>
  <c r="C27" i="12"/>
  <c r="D27" i="11"/>
  <c r="D27" i="12"/>
  <c r="E27" i="11"/>
  <c r="E27" i="12"/>
  <c r="S27"/>
  <c r="F27" i="11"/>
  <c r="F27" i="12"/>
  <c r="T27"/>
  <c r="G27" i="11"/>
  <c r="G27" i="12"/>
  <c r="U27"/>
  <c r="H27" i="11"/>
  <c r="H27" i="12"/>
  <c r="V27"/>
  <c r="C28" i="11"/>
  <c r="C28" i="12"/>
  <c r="D28" i="11"/>
  <c r="D28" i="12"/>
  <c r="E28" i="11"/>
  <c r="E28" i="12"/>
  <c r="S28"/>
  <c r="F28" i="11"/>
  <c r="F28" i="12"/>
  <c r="T28"/>
  <c r="G28" i="11"/>
  <c r="G28" i="12"/>
  <c r="U28"/>
  <c r="H28" i="11"/>
  <c r="H28" i="12"/>
  <c r="V28"/>
  <c r="C29" i="11"/>
  <c r="C29" i="12"/>
  <c r="D29" i="11"/>
  <c r="D29" i="12"/>
  <c r="E29" i="11"/>
  <c r="E29" i="12"/>
  <c r="S29"/>
  <c r="F29" i="11"/>
  <c r="F29" i="12"/>
  <c r="G29" i="11"/>
  <c r="G29" i="12"/>
  <c r="H29" i="11"/>
  <c r="H29" i="12"/>
  <c r="C30" i="11"/>
  <c r="C30" i="12"/>
  <c r="D30" i="11"/>
  <c r="D30" i="12"/>
  <c r="E30" i="11"/>
  <c r="E30" i="12"/>
  <c r="S30"/>
  <c r="F30" i="11"/>
  <c r="F30" i="12"/>
  <c r="T30"/>
  <c r="G30" i="11"/>
  <c r="G30" i="12"/>
  <c r="U30"/>
  <c r="H30" i="11"/>
  <c r="H30" i="12"/>
  <c r="V30"/>
  <c r="C31" i="11"/>
  <c r="C31" i="12"/>
  <c r="D31" i="11"/>
  <c r="D31" i="12"/>
  <c r="E31" i="11"/>
  <c r="E31" i="12"/>
  <c r="S31"/>
  <c r="F31" i="11"/>
  <c r="F31" i="12"/>
  <c r="T31"/>
  <c r="G31" i="11"/>
  <c r="G31" i="12"/>
  <c r="U31"/>
  <c r="H31" i="11"/>
  <c r="H31" i="12"/>
  <c r="V31"/>
  <c r="C32" i="11"/>
  <c r="C32" i="12"/>
  <c r="D32" i="11"/>
  <c r="D32" i="12"/>
  <c r="E32" i="11"/>
  <c r="E32" i="12"/>
  <c r="S32"/>
  <c r="F32" i="11"/>
  <c r="F32" i="12"/>
  <c r="T32"/>
  <c r="G32" i="11"/>
  <c r="G32" i="12"/>
  <c r="U32"/>
  <c r="H32" i="11"/>
  <c r="H32" i="12"/>
  <c r="V32"/>
  <c r="C33" i="11"/>
  <c r="C33" i="12"/>
  <c r="D33" i="11"/>
  <c r="D33" i="12"/>
  <c r="E33" i="11"/>
  <c r="E33" i="12"/>
  <c r="S33"/>
  <c r="F33" i="11"/>
  <c r="F33" i="12"/>
  <c r="T33"/>
  <c r="G33" i="11"/>
  <c r="G33" i="12"/>
  <c r="U33"/>
  <c r="H33" i="11"/>
  <c r="H33" i="12"/>
  <c r="V33"/>
  <c r="C34" i="11"/>
  <c r="C34" i="12"/>
  <c r="D34" i="11"/>
  <c r="D34" i="12"/>
  <c r="E34" i="11"/>
  <c r="E34" i="12"/>
  <c r="S34"/>
  <c r="F34" i="11"/>
  <c r="F34" i="12"/>
  <c r="T34"/>
  <c r="G34" i="11"/>
  <c r="G34" i="12"/>
  <c r="U34"/>
  <c r="H34" i="11"/>
  <c r="H34" i="12"/>
  <c r="V34"/>
  <c r="C35" i="11"/>
  <c r="C35" i="12"/>
  <c r="D35" i="11"/>
  <c r="D35" i="12"/>
  <c r="E35" i="11"/>
  <c r="E35" i="12"/>
  <c r="S35"/>
  <c r="F35" i="11"/>
  <c r="F35" i="12"/>
  <c r="T35"/>
  <c r="G35" i="11"/>
  <c r="G35" i="12"/>
  <c r="U35"/>
  <c r="H35" i="11"/>
  <c r="H35" i="12"/>
  <c r="V35"/>
  <c r="C20" i="11"/>
  <c r="C20" i="12"/>
  <c r="D20" i="11"/>
  <c r="D20" i="12"/>
  <c r="E20" i="11"/>
  <c r="E20" i="12"/>
  <c r="S20"/>
  <c r="F20" i="11"/>
  <c r="F20" i="12"/>
  <c r="T20"/>
  <c r="G20" i="11"/>
  <c r="G20" i="12"/>
  <c r="U20"/>
  <c r="H20" i="11"/>
  <c r="H20" i="12"/>
  <c r="V20"/>
  <c r="C21" i="11"/>
  <c r="C21" i="12"/>
  <c r="D21" i="11"/>
  <c r="D21" i="12"/>
  <c r="E21" i="11"/>
  <c r="E21" i="12"/>
  <c r="S21"/>
  <c r="F21" i="11"/>
  <c r="F21" i="12"/>
  <c r="T21"/>
  <c r="G21" i="11"/>
  <c r="G21" i="12"/>
  <c r="U21"/>
  <c r="H21" i="11"/>
  <c r="H21" i="12"/>
  <c r="V21"/>
  <c r="C22" i="11"/>
  <c r="C22" i="12"/>
  <c r="D22" i="11"/>
  <c r="D22" i="12"/>
  <c r="E22" i="11"/>
  <c r="E22" i="12"/>
  <c r="S22"/>
  <c r="F22" i="11"/>
  <c r="F22" i="12"/>
  <c r="T22"/>
  <c r="G22" i="11"/>
  <c r="G22" i="12"/>
  <c r="U22"/>
  <c r="H22" i="11"/>
  <c r="H22" i="12"/>
  <c r="V22"/>
  <c r="C23" i="11"/>
  <c r="C23" i="12"/>
  <c r="D23" i="11"/>
  <c r="D23" i="12"/>
  <c r="E23" i="11"/>
  <c r="E23" i="12"/>
  <c r="S23"/>
  <c r="F23" i="11"/>
  <c r="F23" i="12"/>
  <c r="T23"/>
  <c r="G23" i="11"/>
  <c r="G23" i="12"/>
  <c r="U23"/>
  <c r="H23" i="11"/>
  <c r="H23" i="12"/>
  <c r="V23"/>
  <c r="C24" i="11"/>
  <c r="C24" i="12"/>
  <c r="D24" i="11"/>
  <c r="D24" i="12"/>
  <c r="E24" i="11"/>
  <c r="E24" i="12"/>
  <c r="S24"/>
  <c r="F24" i="11"/>
  <c r="F24" i="12"/>
  <c r="T24"/>
  <c r="G24" i="11"/>
  <c r="G24" i="12"/>
  <c r="U24"/>
  <c r="H24" i="11"/>
  <c r="H24" i="12"/>
  <c r="V24"/>
  <c r="C25" i="11"/>
  <c r="C25" i="12"/>
  <c r="D25" i="11"/>
  <c r="D25" i="12"/>
  <c r="E25" i="11"/>
  <c r="E25" i="12"/>
  <c r="S25"/>
  <c r="F25" i="11"/>
  <c r="F25" i="12"/>
  <c r="T25"/>
  <c r="G25" i="11"/>
  <c r="G25" i="12"/>
  <c r="U25"/>
  <c r="H25" i="11"/>
  <c r="H25" i="12"/>
  <c r="V25"/>
  <c r="D19" i="11"/>
  <c r="E19"/>
  <c r="E19" i="12"/>
  <c r="F19" i="11"/>
  <c r="G19"/>
  <c r="G19" i="12"/>
  <c r="U19"/>
  <c r="H19" i="11"/>
  <c r="C19"/>
  <c r="C19" i="12"/>
  <c r="C7" i="11"/>
  <c r="C7" i="12"/>
  <c r="Q7"/>
  <c r="D7" i="11"/>
  <c r="D7" i="12"/>
  <c r="E7" i="11"/>
  <c r="F7"/>
  <c r="F7" i="12"/>
  <c r="T7"/>
  <c r="G7" i="11"/>
  <c r="G7" i="12"/>
  <c r="U7"/>
  <c r="H7" i="11"/>
  <c r="H7" i="12"/>
  <c r="V7"/>
  <c r="C8" i="11"/>
  <c r="C8" i="12"/>
  <c r="Q8"/>
  <c r="D8" i="11"/>
  <c r="D8" i="12"/>
  <c r="E8" i="11"/>
  <c r="E8" i="12"/>
  <c r="S8"/>
  <c r="F8" i="11"/>
  <c r="F8" i="12"/>
  <c r="T8"/>
  <c r="G8" i="11"/>
  <c r="G8" i="12"/>
  <c r="U8"/>
  <c r="H8" i="11"/>
  <c r="H8" i="12"/>
  <c r="V8"/>
  <c r="C9" i="11"/>
  <c r="C9" i="12"/>
  <c r="Q9"/>
  <c r="D9" i="11"/>
  <c r="D9" i="12"/>
  <c r="E9" i="11"/>
  <c r="E9" i="12"/>
  <c r="S9"/>
  <c r="F9" i="11"/>
  <c r="F9" i="12"/>
  <c r="T9"/>
  <c r="G9" i="11"/>
  <c r="G9" i="12"/>
  <c r="U9"/>
  <c r="H9" i="11"/>
  <c r="H9" i="12"/>
  <c r="V9"/>
  <c r="C10" i="11"/>
  <c r="C10" i="12"/>
  <c r="Q10"/>
  <c r="D10" i="11"/>
  <c r="D10" i="12"/>
  <c r="E10" i="11"/>
  <c r="E10" i="12"/>
  <c r="S10"/>
  <c r="F10" i="11"/>
  <c r="F10" i="12"/>
  <c r="T10"/>
  <c r="G10" i="11"/>
  <c r="G10" i="12"/>
  <c r="U10"/>
  <c r="H10" i="11"/>
  <c r="H10" i="12"/>
  <c r="V10"/>
  <c r="C11" i="11"/>
  <c r="C11" i="12"/>
  <c r="Q11"/>
  <c r="D11" i="11"/>
  <c r="D11" i="12"/>
  <c r="E11" i="11"/>
  <c r="E11" i="12"/>
  <c r="S11"/>
  <c r="F11" i="11"/>
  <c r="F11" i="12"/>
  <c r="G11" i="11"/>
  <c r="G11" i="12"/>
  <c r="H11" i="11"/>
  <c r="H11" i="12"/>
  <c r="V11"/>
  <c r="C12" i="11"/>
  <c r="C12" i="12"/>
  <c r="Q12"/>
  <c r="D12" i="11"/>
  <c r="D12" i="12"/>
  <c r="E12" i="11"/>
  <c r="E12" i="12"/>
  <c r="S12"/>
  <c r="F12" i="11"/>
  <c r="F12" i="12"/>
  <c r="T12"/>
  <c r="G12" i="11"/>
  <c r="G12" i="12"/>
  <c r="U12"/>
  <c r="H12" i="11"/>
  <c r="H12" i="12"/>
  <c r="V12"/>
  <c r="C13" i="11"/>
  <c r="C13" i="12"/>
  <c r="Q13"/>
  <c r="D13" i="11"/>
  <c r="D13" i="12"/>
  <c r="E13" i="11"/>
  <c r="E13" i="12"/>
  <c r="S13"/>
  <c r="F13" i="11"/>
  <c r="F13" i="12"/>
  <c r="T13"/>
  <c r="G13" i="11"/>
  <c r="G13" i="12"/>
  <c r="U13"/>
  <c r="H13" i="11"/>
  <c r="H13" i="12"/>
  <c r="V13"/>
  <c r="C14" i="11"/>
  <c r="C14" i="12"/>
  <c r="Q14"/>
  <c r="D14" i="11"/>
  <c r="D14" i="12"/>
  <c r="E14" i="11"/>
  <c r="E14" i="12"/>
  <c r="S14"/>
  <c r="F14" i="11"/>
  <c r="F14" i="12"/>
  <c r="T14"/>
  <c r="G14" i="11"/>
  <c r="G14" i="12"/>
  <c r="U14"/>
  <c r="H14" i="11"/>
  <c r="H14" i="12"/>
  <c r="V14"/>
  <c r="C15" i="11"/>
  <c r="C15" i="12"/>
  <c r="D15" i="11"/>
  <c r="D15" i="12"/>
  <c r="E15" i="11"/>
  <c r="E15" i="12"/>
  <c r="F15" i="11"/>
  <c r="F15" i="12"/>
  <c r="T15"/>
  <c r="G15" i="11"/>
  <c r="G15" i="12"/>
  <c r="U15"/>
  <c r="H15" i="11"/>
  <c r="H15" i="12"/>
  <c r="V15"/>
  <c r="C16" i="11"/>
  <c r="C16" i="12"/>
  <c r="D16" i="11"/>
  <c r="D16" i="12"/>
  <c r="E16" i="11"/>
  <c r="E16" i="12"/>
  <c r="S16"/>
  <c r="F16" i="11"/>
  <c r="F16" i="12"/>
  <c r="T16"/>
  <c r="G16" i="11"/>
  <c r="G16" i="12"/>
  <c r="U16"/>
  <c r="H16" i="11"/>
  <c r="H16" i="12"/>
  <c r="V16"/>
  <c r="D6" i="11"/>
  <c r="E6"/>
  <c r="E6" i="12"/>
  <c r="F6" i="11"/>
  <c r="F6" i="12"/>
  <c r="T6"/>
  <c r="G6" i="11"/>
  <c r="G6" i="12"/>
  <c r="U6"/>
  <c r="H6" i="11"/>
  <c r="H6" i="12"/>
  <c r="V6"/>
  <c r="C6" i="11"/>
  <c r="C6" i="12"/>
  <c r="G40" i="11"/>
  <c r="N36" i="10"/>
  <c r="N40"/>
  <c r="F34" i="9"/>
  <c r="F34" i="10"/>
  <c r="T34"/>
  <c r="D38" i="8"/>
  <c r="D38" i="7"/>
  <c r="D38" i="17"/>
  <c r="E38" i="8"/>
  <c r="D22"/>
  <c r="D22" i="7"/>
  <c r="D22" i="17"/>
  <c r="E22" i="8"/>
  <c r="S22"/>
  <c r="D23"/>
  <c r="E23"/>
  <c r="D24"/>
  <c r="E24"/>
  <c r="E24" i="7"/>
  <c r="E24" i="17"/>
  <c r="D26" i="8"/>
  <c r="D26" i="7"/>
  <c r="E26" i="8"/>
  <c r="D27"/>
  <c r="D27" i="7"/>
  <c r="E27" i="8"/>
  <c r="S27"/>
  <c r="D29"/>
  <c r="E29"/>
  <c r="E29" i="7"/>
  <c r="E29" i="17"/>
  <c r="D30" i="8"/>
  <c r="E30"/>
  <c r="S30"/>
  <c r="D31"/>
  <c r="D31" i="7"/>
  <c r="E31" i="8"/>
  <c r="D32"/>
  <c r="D32" i="7"/>
  <c r="E32" i="8"/>
  <c r="E32" i="7"/>
  <c r="D33" i="8"/>
  <c r="E33"/>
  <c r="D34"/>
  <c r="E34"/>
  <c r="E34" i="7"/>
  <c r="E34" i="17"/>
  <c r="D35" i="8"/>
  <c r="D35" i="7"/>
  <c r="D35" i="17"/>
  <c r="E35" i="8"/>
  <c r="E35" i="7"/>
  <c r="E35" i="17"/>
  <c r="C22" i="8"/>
  <c r="C23"/>
  <c r="C23" i="7"/>
  <c r="C23" i="17"/>
  <c r="C24" i="8"/>
  <c r="C24" i="7"/>
  <c r="C24" i="17"/>
  <c r="C26" i="8"/>
  <c r="C27"/>
  <c r="C29"/>
  <c r="C29" i="7"/>
  <c r="C30" i="8"/>
  <c r="C30" i="7"/>
  <c r="C31" i="8"/>
  <c r="C31" i="7"/>
  <c r="C31" i="17"/>
  <c r="C32" i="8"/>
  <c r="C33"/>
  <c r="C33" i="7"/>
  <c r="C33" i="17"/>
  <c r="C34" i="8"/>
  <c r="C34" i="7"/>
  <c r="C34" i="17"/>
  <c r="C35" i="8"/>
  <c r="C35" i="7"/>
  <c r="C35" i="17"/>
  <c r="D6" i="8"/>
  <c r="E6"/>
  <c r="D7"/>
  <c r="D7" i="7"/>
  <c r="D7" i="17"/>
  <c r="E7" i="8"/>
  <c r="E7" i="7"/>
  <c r="E7" i="17"/>
  <c r="D9" i="8"/>
  <c r="E9"/>
  <c r="D11"/>
  <c r="D11" i="7"/>
  <c r="D11" i="17"/>
  <c r="E11" i="8"/>
  <c r="E11" i="7"/>
  <c r="E11" i="17"/>
  <c r="D12" i="8"/>
  <c r="E12"/>
  <c r="E12" i="7"/>
  <c r="E12" i="17"/>
  <c r="D13" i="8"/>
  <c r="D13" i="7"/>
  <c r="D13" i="17"/>
  <c r="E13" i="8"/>
  <c r="E13" i="7"/>
  <c r="E13" i="17"/>
  <c r="D15" i="8"/>
  <c r="E15"/>
  <c r="E15" i="7"/>
  <c r="E15" i="17"/>
  <c r="D16" i="8"/>
  <c r="D16" i="7"/>
  <c r="D16" i="17"/>
  <c r="E16" i="8"/>
  <c r="E16" i="7"/>
  <c r="E16" i="17"/>
  <c r="C7" i="8"/>
  <c r="C9"/>
  <c r="C9" i="7"/>
  <c r="C9" i="17"/>
  <c r="C11" i="8"/>
  <c r="C11" i="7"/>
  <c r="C11" i="17"/>
  <c r="C12" i="8"/>
  <c r="C13"/>
  <c r="C15"/>
  <c r="C15" i="7"/>
  <c r="C15" i="17"/>
  <c r="C16" i="8"/>
  <c r="C16" i="7"/>
  <c r="C16" i="17"/>
  <c r="C22" i="7"/>
  <c r="C22" i="17"/>
  <c r="D23" i="7"/>
  <c r="D23" i="17"/>
  <c r="D24" i="7"/>
  <c r="D24" i="17"/>
  <c r="C27" i="7"/>
  <c r="D29"/>
  <c r="D29" i="17"/>
  <c r="D30" i="7"/>
  <c r="D30" i="17"/>
  <c r="C32" i="7"/>
  <c r="D33"/>
  <c r="D33" i="17"/>
  <c r="D34" i="7"/>
  <c r="D34" i="17"/>
  <c r="D6" i="7"/>
  <c r="D6" i="17"/>
  <c r="D9" i="7"/>
  <c r="D9" i="17"/>
  <c r="D12" i="7"/>
  <c r="D12" i="17"/>
  <c r="D15" i="7"/>
  <c r="D15" i="17"/>
  <c r="C7" i="7"/>
  <c r="C7" i="17"/>
  <c r="C13" i="7"/>
  <c r="C13" i="17"/>
  <c r="C7" i="9"/>
  <c r="C7" i="10"/>
  <c r="D7" i="9"/>
  <c r="D7" i="10"/>
  <c r="E7" i="9"/>
  <c r="E7" i="10"/>
  <c r="C8" i="9"/>
  <c r="C8" i="10"/>
  <c r="D8" i="9"/>
  <c r="D8" i="10"/>
  <c r="E8" i="9"/>
  <c r="E8" i="10"/>
  <c r="S8"/>
  <c r="C9" i="9"/>
  <c r="C9" i="10"/>
  <c r="D9" i="9"/>
  <c r="D9" i="10"/>
  <c r="E9" i="9"/>
  <c r="E9" i="10"/>
  <c r="C10" i="9"/>
  <c r="C10" i="10"/>
  <c r="D10" i="9"/>
  <c r="D10" i="10"/>
  <c r="E10" i="9"/>
  <c r="E10" i="10"/>
  <c r="S10"/>
  <c r="C11" i="9"/>
  <c r="C11" i="10"/>
  <c r="D11" i="9"/>
  <c r="D11" i="10"/>
  <c r="E11" i="9"/>
  <c r="E11" i="10"/>
  <c r="C12" i="9"/>
  <c r="C12" i="10"/>
  <c r="D12" i="9"/>
  <c r="D12" i="10"/>
  <c r="E12" i="9"/>
  <c r="E12" i="10"/>
  <c r="S12"/>
  <c r="C13" i="9"/>
  <c r="C13" i="10"/>
  <c r="D13" i="9"/>
  <c r="D13" i="10"/>
  <c r="E13" i="9"/>
  <c r="E13" i="10"/>
  <c r="C14" i="9"/>
  <c r="C14" i="10"/>
  <c r="D14" i="9"/>
  <c r="D14" i="10"/>
  <c r="E14" i="9"/>
  <c r="E14" i="10"/>
  <c r="S14"/>
  <c r="C15" i="9"/>
  <c r="C15" i="10"/>
  <c r="D15" i="9"/>
  <c r="D15" i="10"/>
  <c r="E15" i="9"/>
  <c r="E15" i="10"/>
  <c r="C16" i="9"/>
  <c r="C16" i="10"/>
  <c r="D16" i="9"/>
  <c r="D16" i="10"/>
  <c r="E16" i="9"/>
  <c r="E16" i="10"/>
  <c r="D6" i="9"/>
  <c r="D6" i="10"/>
  <c r="E6" i="9"/>
  <c r="E6" i="10"/>
  <c r="S6"/>
  <c r="C20" i="9"/>
  <c r="C20" i="10"/>
  <c r="D20" i="9"/>
  <c r="D20" i="10"/>
  <c r="E20" i="9"/>
  <c r="E20" i="10"/>
  <c r="C21" i="9"/>
  <c r="C21" i="10"/>
  <c r="D21" i="9"/>
  <c r="D21" i="10"/>
  <c r="E21" i="9"/>
  <c r="E21" i="10"/>
  <c r="S21"/>
  <c r="C22" i="9"/>
  <c r="C22" i="10"/>
  <c r="D22" i="9"/>
  <c r="D22" i="10"/>
  <c r="E22" i="9"/>
  <c r="E22" i="10"/>
  <c r="C23" i="9"/>
  <c r="C23" i="10"/>
  <c r="D23" i="9"/>
  <c r="D23" i="10"/>
  <c r="E23" i="9"/>
  <c r="E23" i="10"/>
  <c r="S23"/>
  <c r="C24" i="9"/>
  <c r="C24" i="10"/>
  <c r="D24" i="9"/>
  <c r="D24" i="10"/>
  <c r="E24" i="9"/>
  <c r="E24" i="10"/>
  <c r="C25" i="9"/>
  <c r="C25" i="10"/>
  <c r="D25" i="9"/>
  <c r="D25" i="10"/>
  <c r="E25" i="9"/>
  <c r="E25" i="10"/>
  <c r="S25"/>
  <c r="C26" i="9"/>
  <c r="C26" i="10"/>
  <c r="D26" i="9"/>
  <c r="D26" i="10"/>
  <c r="E26" i="9"/>
  <c r="E26" i="10"/>
  <c r="C27" i="9"/>
  <c r="C27" i="10"/>
  <c r="D27" i="9"/>
  <c r="D27" i="10"/>
  <c r="E27" i="9"/>
  <c r="E27" i="10"/>
  <c r="S27"/>
  <c r="C28" i="9"/>
  <c r="C28" i="10"/>
  <c r="D28" i="9"/>
  <c r="D28" i="10"/>
  <c r="E28" i="9"/>
  <c r="E28" i="10"/>
  <c r="C29" i="9"/>
  <c r="C29" i="10"/>
  <c r="D29" i="9"/>
  <c r="D29" i="10"/>
  <c r="E29" i="9"/>
  <c r="E29" i="10"/>
  <c r="S29"/>
  <c r="C30" i="9"/>
  <c r="C30" i="10"/>
  <c r="D30" i="9"/>
  <c r="D30" i="10"/>
  <c r="E30" i="9"/>
  <c r="E30" i="10"/>
  <c r="C31" i="9"/>
  <c r="C31" i="10"/>
  <c r="D31" i="9"/>
  <c r="D31" i="10"/>
  <c r="E31" i="9"/>
  <c r="E31" i="10"/>
  <c r="S31"/>
  <c r="C32" i="9"/>
  <c r="C32" i="10"/>
  <c r="D32" i="9"/>
  <c r="D32" i="10"/>
  <c r="E32" i="9"/>
  <c r="E32" i="10"/>
  <c r="C33" i="9"/>
  <c r="C33" i="10"/>
  <c r="D33" i="9"/>
  <c r="D33" i="10"/>
  <c r="E33" i="9"/>
  <c r="E33" i="10"/>
  <c r="S33"/>
  <c r="C34" i="9"/>
  <c r="C34" i="10"/>
  <c r="D34" i="9"/>
  <c r="D34" i="10"/>
  <c r="E34" i="9"/>
  <c r="E34" i="10"/>
  <c r="C35" i="9"/>
  <c r="C35" i="10"/>
  <c r="D35" i="9"/>
  <c r="D35" i="10"/>
  <c r="E35" i="9"/>
  <c r="E35" i="10"/>
  <c r="S35"/>
  <c r="D19" i="9"/>
  <c r="D19" i="10"/>
  <c r="E19" i="9"/>
  <c r="E19" i="10"/>
  <c r="S19"/>
  <c r="C39" i="9"/>
  <c r="C39" i="10"/>
  <c r="D39" i="9"/>
  <c r="D39" i="10"/>
  <c r="E39" i="9"/>
  <c r="E39" i="10"/>
  <c r="F39" i="9"/>
  <c r="F39" i="10"/>
  <c r="T39"/>
  <c r="G39" i="9"/>
  <c r="G39" i="10"/>
  <c r="U39"/>
  <c r="H39" i="9"/>
  <c r="H39" i="10"/>
  <c r="V39"/>
  <c r="D38" i="9"/>
  <c r="D38" i="10"/>
  <c r="E38" i="9"/>
  <c r="E38" i="10"/>
  <c r="F38" i="9"/>
  <c r="F38" i="10"/>
  <c r="T38"/>
  <c r="G38" i="9"/>
  <c r="G38" i="10"/>
  <c r="U38"/>
  <c r="H38" i="9"/>
  <c r="H38" i="10"/>
  <c r="V38"/>
  <c r="C38" i="9"/>
  <c r="C38" i="10"/>
  <c r="F20" i="9"/>
  <c r="F20" i="10"/>
  <c r="T20"/>
  <c r="G20" i="9"/>
  <c r="G20" i="10"/>
  <c r="U20"/>
  <c r="H20" i="9"/>
  <c r="H20" i="10"/>
  <c r="V20"/>
  <c r="F21" i="9"/>
  <c r="F21" i="10"/>
  <c r="T21"/>
  <c r="G21" i="9"/>
  <c r="G21" i="10"/>
  <c r="U21"/>
  <c r="H21" i="9"/>
  <c r="H21" i="10"/>
  <c r="V21"/>
  <c r="F22" i="9"/>
  <c r="F22" i="10"/>
  <c r="T22"/>
  <c r="G22" i="9"/>
  <c r="G22" i="10"/>
  <c r="U22"/>
  <c r="H22" i="9"/>
  <c r="H22" i="10"/>
  <c r="V22"/>
  <c r="F23" i="9"/>
  <c r="F23" i="10"/>
  <c r="T23"/>
  <c r="G23" i="9"/>
  <c r="G23" i="10"/>
  <c r="U23"/>
  <c r="H23" i="9"/>
  <c r="H23" i="10"/>
  <c r="V23"/>
  <c r="F24" i="9"/>
  <c r="F24" i="10"/>
  <c r="T24"/>
  <c r="G24" i="9"/>
  <c r="G24" i="10"/>
  <c r="U24"/>
  <c r="H24" i="9"/>
  <c r="H24" i="10"/>
  <c r="V24"/>
  <c r="F25" i="9"/>
  <c r="F25" i="10"/>
  <c r="T25"/>
  <c r="G25" i="9"/>
  <c r="G25" i="10"/>
  <c r="U25"/>
  <c r="H25" i="9"/>
  <c r="H25" i="10"/>
  <c r="V25"/>
  <c r="F26" i="9"/>
  <c r="F26" i="10"/>
  <c r="T26"/>
  <c r="G26" i="9"/>
  <c r="G26" i="10"/>
  <c r="U26"/>
  <c r="H26" i="9"/>
  <c r="H26" i="10"/>
  <c r="V26"/>
  <c r="F27" i="9"/>
  <c r="F27" i="10"/>
  <c r="T27"/>
  <c r="G27" i="9"/>
  <c r="G27" i="10"/>
  <c r="U27"/>
  <c r="H27" i="9"/>
  <c r="H27" i="10"/>
  <c r="V27"/>
  <c r="F28" i="9"/>
  <c r="F28" i="10"/>
  <c r="T28"/>
  <c r="G28" i="9"/>
  <c r="G28" i="10"/>
  <c r="U28"/>
  <c r="H28" i="9"/>
  <c r="H28" i="10"/>
  <c r="V28"/>
  <c r="F29" i="9"/>
  <c r="F29" i="10"/>
  <c r="G29" i="9"/>
  <c r="G29" i="10"/>
  <c r="H29" i="9"/>
  <c r="H29" i="10"/>
  <c r="F30" i="9"/>
  <c r="F30" i="10"/>
  <c r="T30"/>
  <c r="G30" i="9"/>
  <c r="G30" i="10"/>
  <c r="U30"/>
  <c r="H30" i="9"/>
  <c r="H30" i="10"/>
  <c r="V30"/>
  <c r="F31" i="9"/>
  <c r="F31" i="10"/>
  <c r="T31"/>
  <c r="G31" i="9"/>
  <c r="G31" i="10"/>
  <c r="U31"/>
  <c r="H31" i="9"/>
  <c r="H31" i="10"/>
  <c r="V31"/>
  <c r="F32" i="9"/>
  <c r="F32" i="10"/>
  <c r="T32"/>
  <c r="G32" i="9"/>
  <c r="G32" i="10"/>
  <c r="U32"/>
  <c r="H32" i="9"/>
  <c r="H32" i="10"/>
  <c r="V32"/>
  <c r="F33" i="9"/>
  <c r="F33" i="10"/>
  <c r="T33"/>
  <c r="G33" i="9"/>
  <c r="G33" i="10"/>
  <c r="U33"/>
  <c r="H33" i="9"/>
  <c r="H33" i="10"/>
  <c r="V33"/>
  <c r="G34" i="9"/>
  <c r="G34" i="10"/>
  <c r="U34"/>
  <c r="H34" i="9"/>
  <c r="H34" i="10"/>
  <c r="V34"/>
  <c r="F35" i="9"/>
  <c r="F35" i="10"/>
  <c r="T35"/>
  <c r="G35" i="9"/>
  <c r="G35" i="10"/>
  <c r="U35"/>
  <c r="H35" i="9"/>
  <c r="H35" i="10"/>
  <c r="V35"/>
  <c r="F19" i="9"/>
  <c r="F19" i="10"/>
  <c r="T19"/>
  <c r="G19" i="9"/>
  <c r="G19" i="10"/>
  <c r="U19"/>
  <c r="H19" i="9"/>
  <c r="H19" i="10"/>
  <c r="V19"/>
  <c r="C19" i="9"/>
  <c r="C19" i="10"/>
  <c r="F7" i="9"/>
  <c r="F7" i="10"/>
  <c r="T7"/>
  <c r="G7" i="9"/>
  <c r="G7" i="10"/>
  <c r="U7"/>
  <c r="H7" i="9"/>
  <c r="H7" i="10"/>
  <c r="V7"/>
  <c r="F8" i="9"/>
  <c r="F8" i="10"/>
  <c r="T8"/>
  <c r="G8" i="9"/>
  <c r="G8" i="10"/>
  <c r="U8"/>
  <c r="H8" i="9"/>
  <c r="H8" i="10"/>
  <c r="V8"/>
  <c r="F9" i="9"/>
  <c r="F9" i="10"/>
  <c r="T9"/>
  <c r="G9" i="9"/>
  <c r="G9" i="10"/>
  <c r="U9"/>
  <c r="H9" i="9"/>
  <c r="H9" i="10"/>
  <c r="V9"/>
  <c r="F10" i="9"/>
  <c r="F10" i="10"/>
  <c r="T10"/>
  <c r="G10" i="9"/>
  <c r="G10" i="10"/>
  <c r="U10"/>
  <c r="H10" i="9"/>
  <c r="H10" i="10"/>
  <c r="V10"/>
  <c r="F11" i="9"/>
  <c r="F11" i="10"/>
  <c r="G11" i="9"/>
  <c r="G11" i="10"/>
  <c r="H11" i="9"/>
  <c r="H11" i="10"/>
  <c r="F12" i="9"/>
  <c r="F12" i="10"/>
  <c r="T12"/>
  <c r="G12" i="9"/>
  <c r="G12" i="10"/>
  <c r="U12"/>
  <c r="H12" i="9"/>
  <c r="H12" i="10"/>
  <c r="V12"/>
  <c r="F13" i="9"/>
  <c r="F13" i="10"/>
  <c r="T13"/>
  <c r="G13" i="9"/>
  <c r="G13" i="10"/>
  <c r="U13"/>
  <c r="H13" i="9"/>
  <c r="H13" i="10"/>
  <c r="V13"/>
  <c r="F14" i="9"/>
  <c r="F14" i="10"/>
  <c r="T14"/>
  <c r="G14" i="9"/>
  <c r="G14" i="10"/>
  <c r="U14"/>
  <c r="H14" i="9"/>
  <c r="H14" i="10"/>
  <c r="V14"/>
  <c r="F15" i="9"/>
  <c r="F15" i="10"/>
  <c r="T15"/>
  <c r="G15" i="9"/>
  <c r="G15" i="10"/>
  <c r="U15"/>
  <c r="H15" i="9"/>
  <c r="H15" i="10"/>
  <c r="V15"/>
  <c r="F16" i="9"/>
  <c r="F16" i="10"/>
  <c r="T16"/>
  <c r="G16" i="9"/>
  <c r="G16" i="10"/>
  <c r="U16"/>
  <c r="H16" i="9"/>
  <c r="H16" i="10"/>
  <c r="V16"/>
  <c r="F6" i="9"/>
  <c r="F6" i="10"/>
  <c r="T6"/>
  <c r="G6" i="9"/>
  <c r="H6"/>
  <c r="H6" i="10"/>
  <c r="V6"/>
  <c r="C6" i="9"/>
  <c r="C6" i="10"/>
  <c r="G40" i="9"/>
  <c r="T7" i="2"/>
  <c r="U7"/>
  <c r="V7"/>
  <c r="T8"/>
  <c r="U8"/>
  <c r="V8"/>
  <c r="T9"/>
  <c r="U9"/>
  <c r="V9"/>
  <c r="T10"/>
  <c r="U10"/>
  <c r="V10"/>
  <c r="T11"/>
  <c r="U11"/>
  <c r="V11"/>
  <c r="T12"/>
  <c r="U12"/>
  <c r="V12"/>
  <c r="T13"/>
  <c r="U13"/>
  <c r="V13"/>
  <c r="T14"/>
  <c r="U14"/>
  <c r="V14"/>
  <c r="T15"/>
  <c r="U15"/>
  <c r="V15"/>
  <c r="T16"/>
  <c r="U16"/>
  <c r="V16"/>
  <c r="T19"/>
  <c r="U19"/>
  <c r="V19"/>
  <c r="T20"/>
  <c r="U20"/>
  <c r="V20"/>
  <c r="T21"/>
  <c r="U21"/>
  <c r="V21"/>
  <c r="T22"/>
  <c r="U22"/>
  <c r="V22"/>
  <c r="T23"/>
  <c r="U23"/>
  <c r="V23"/>
  <c r="T24"/>
  <c r="U24"/>
  <c r="V24"/>
  <c r="T25"/>
  <c r="U25"/>
  <c r="V25"/>
  <c r="T26"/>
  <c r="U26"/>
  <c r="V26"/>
  <c r="T27"/>
  <c r="U27"/>
  <c r="V27"/>
  <c r="T28"/>
  <c r="U28"/>
  <c r="V28"/>
  <c r="T29"/>
  <c r="U29"/>
  <c r="V29"/>
  <c r="T30"/>
  <c r="U30"/>
  <c r="V30"/>
  <c r="T31"/>
  <c r="U31"/>
  <c r="V31"/>
  <c r="T32"/>
  <c r="U32"/>
  <c r="V32"/>
  <c r="T33"/>
  <c r="U33"/>
  <c r="V33"/>
  <c r="T34"/>
  <c r="U34"/>
  <c r="V34"/>
  <c r="T35"/>
  <c r="U35"/>
  <c r="V35"/>
  <c r="T38"/>
  <c r="U38"/>
  <c r="V38"/>
  <c r="T39"/>
  <c r="U39"/>
  <c r="V39"/>
  <c r="T6"/>
  <c r="U6"/>
  <c r="V6"/>
  <c r="T38" i="6"/>
  <c r="U38"/>
  <c r="V38"/>
  <c r="T22"/>
  <c r="U22"/>
  <c r="V22"/>
  <c r="T23"/>
  <c r="U23"/>
  <c r="V23"/>
  <c r="T24"/>
  <c r="U24"/>
  <c r="V24"/>
  <c r="T26"/>
  <c r="U26"/>
  <c r="V26"/>
  <c r="T27"/>
  <c r="U28"/>
  <c r="T29"/>
  <c r="U29"/>
  <c r="V29"/>
  <c r="V30"/>
  <c r="T31"/>
  <c r="U31"/>
  <c r="V31"/>
  <c r="T32"/>
  <c r="U32"/>
  <c r="V32"/>
  <c r="T33"/>
  <c r="U33"/>
  <c r="V33"/>
  <c r="T34"/>
  <c r="U34"/>
  <c r="V34"/>
  <c r="T35"/>
  <c r="U35"/>
  <c r="V35"/>
  <c r="T7"/>
  <c r="U7"/>
  <c r="V7"/>
  <c r="V8"/>
  <c r="T9"/>
  <c r="U9"/>
  <c r="V9"/>
  <c r="T11"/>
  <c r="U11"/>
  <c r="V11"/>
  <c r="T12"/>
  <c r="U12"/>
  <c r="V12"/>
  <c r="T13"/>
  <c r="U13"/>
  <c r="V13"/>
  <c r="T15"/>
  <c r="U15"/>
  <c r="V15"/>
  <c r="T16"/>
  <c r="U16"/>
  <c r="V16"/>
  <c r="T6"/>
  <c r="U6"/>
  <c r="V6"/>
  <c r="N40" i="7"/>
  <c r="N36"/>
  <c r="O36"/>
  <c r="N17"/>
  <c r="O17"/>
  <c r="N17" i="8"/>
  <c r="F33"/>
  <c r="F33" i="7"/>
  <c r="G33" i="8"/>
  <c r="U33"/>
  <c r="F34"/>
  <c r="G34"/>
  <c r="U34"/>
  <c r="F38"/>
  <c r="T38"/>
  <c r="G38"/>
  <c r="H38"/>
  <c r="V38"/>
  <c r="C38"/>
  <c r="F31"/>
  <c r="G31"/>
  <c r="U31"/>
  <c r="F32"/>
  <c r="G32"/>
  <c r="U32"/>
  <c r="F35"/>
  <c r="G35"/>
  <c r="U35"/>
  <c r="F22"/>
  <c r="G22"/>
  <c r="U22"/>
  <c r="F23"/>
  <c r="G23"/>
  <c r="U23"/>
  <c r="F24"/>
  <c r="F24" i="7"/>
  <c r="G24" i="8"/>
  <c r="G24" i="7"/>
  <c r="F26" i="8"/>
  <c r="G26"/>
  <c r="U26"/>
  <c r="F27"/>
  <c r="G28"/>
  <c r="U28"/>
  <c r="F29"/>
  <c r="F29" i="7"/>
  <c r="G29" i="8"/>
  <c r="U29"/>
  <c r="F7"/>
  <c r="T7"/>
  <c r="G7"/>
  <c r="V7"/>
  <c r="F9"/>
  <c r="F9" i="7"/>
  <c r="V9" i="8"/>
  <c r="F11"/>
  <c r="T11"/>
  <c r="G11"/>
  <c r="G11" i="7"/>
  <c r="V11" i="8"/>
  <c r="F12"/>
  <c r="T12"/>
  <c r="G12"/>
  <c r="V12"/>
  <c r="F13"/>
  <c r="T13"/>
  <c r="G13"/>
  <c r="V13"/>
  <c r="F15"/>
  <c r="T15"/>
  <c r="G15"/>
  <c r="G15" i="7"/>
  <c r="V15" i="8"/>
  <c r="F16"/>
  <c r="T16"/>
  <c r="G16"/>
  <c r="V16"/>
  <c r="F6"/>
  <c r="T6"/>
  <c r="G6"/>
  <c r="H6"/>
  <c r="C6"/>
  <c r="C6" i="7"/>
  <c r="C6" i="17"/>
  <c r="V39" i="6"/>
  <c r="G39"/>
  <c r="U39"/>
  <c r="F39"/>
  <c r="T39"/>
  <c r="E39"/>
  <c r="E39" i="8"/>
  <c r="E39" i="7"/>
  <c r="E39" i="17"/>
  <c r="D39" i="6"/>
  <c r="D39" i="8"/>
  <c r="D39" i="7"/>
  <c r="D39" i="17"/>
  <c r="C39" i="6"/>
  <c r="C39" i="8"/>
  <c r="C39" i="7"/>
  <c r="C39" i="17"/>
  <c r="V14" i="6"/>
  <c r="U14"/>
  <c r="T14"/>
  <c r="E14" i="8"/>
  <c r="E14" i="7"/>
  <c r="E14" i="17"/>
  <c r="D14" i="8"/>
  <c r="D14" i="7"/>
  <c r="D14" i="17"/>
  <c r="C14" i="8"/>
  <c r="G30" i="6"/>
  <c r="U30"/>
  <c r="F30"/>
  <c r="T30"/>
  <c r="V10"/>
  <c r="G10"/>
  <c r="U10"/>
  <c r="F10"/>
  <c r="T10"/>
  <c r="E10"/>
  <c r="E10" i="8"/>
  <c r="E10" i="7"/>
  <c r="E10" i="17"/>
  <c r="D10" i="6"/>
  <c r="D10" i="8"/>
  <c r="D10" i="7"/>
  <c r="D10" i="17"/>
  <c r="C10" i="6"/>
  <c r="C10" i="8"/>
  <c r="C10" i="7"/>
  <c r="C10" i="17"/>
  <c r="V28" i="6"/>
  <c r="T28"/>
  <c r="E28" i="8"/>
  <c r="E28" i="7"/>
  <c r="E28" i="17"/>
  <c r="D28" i="8"/>
  <c r="C28"/>
  <c r="C28" i="7"/>
  <c r="C28" i="17"/>
  <c r="H27" i="6"/>
  <c r="V27"/>
  <c r="G27"/>
  <c r="U27"/>
  <c r="V25"/>
  <c r="U25"/>
  <c r="T25"/>
  <c r="E25" i="8"/>
  <c r="E25" i="7"/>
  <c r="E25" i="17"/>
  <c r="D25" i="8"/>
  <c r="C25"/>
  <c r="C25" i="7"/>
  <c r="C25" i="17"/>
  <c r="G8" i="6"/>
  <c r="U8"/>
  <c r="F8"/>
  <c r="T8"/>
  <c r="E8"/>
  <c r="E8" i="8"/>
  <c r="E8" i="7"/>
  <c r="E8" i="17"/>
  <c r="D8" i="6"/>
  <c r="D8" i="8"/>
  <c r="D8" i="7"/>
  <c r="D8" i="17"/>
  <c r="C8" i="6"/>
  <c r="C8" i="8"/>
  <c r="C8" i="7"/>
  <c r="C8" i="17"/>
  <c r="V21" i="6"/>
  <c r="U21"/>
  <c r="T21"/>
  <c r="E21" i="8"/>
  <c r="E21" i="7"/>
  <c r="E21" i="17"/>
  <c r="D21" i="8"/>
  <c r="D21" i="7"/>
  <c r="D21" i="17"/>
  <c r="C21" i="8"/>
  <c r="C21" i="7"/>
  <c r="C21" i="17"/>
  <c r="V20" i="6"/>
  <c r="U20"/>
  <c r="T20"/>
  <c r="E20" i="8"/>
  <c r="E20" i="7"/>
  <c r="E20" i="17"/>
  <c r="D20" i="8"/>
  <c r="D20" i="7"/>
  <c r="D20" i="17"/>
  <c r="C20" i="8"/>
  <c r="C20" i="7"/>
  <c r="C20" i="17"/>
  <c r="V19" i="6"/>
  <c r="U19"/>
  <c r="T19"/>
  <c r="E19" i="8"/>
  <c r="D19"/>
  <c r="D19" i="7"/>
  <c r="D19" i="17"/>
  <c r="C19" i="8"/>
  <c r="N40" i="6"/>
  <c r="N36"/>
  <c r="N17"/>
  <c r="O17"/>
  <c r="G40"/>
  <c r="G36"/>
  <c r="H36"/>
  <c r="G17"/>
  <c r="H17"/>
  <c r="G36" i="5"/>
  <c r="F17"/>
  <c r="G17"/>
  <c r="H17"/>
  <c r="F40"/>
  <c r="G40"/>
  <c r="H40"/>
  <c r="F40" i="4"/>
  <c r="G40"/>
  <c r="H40"/>
  <c r="F36"/>
  <c r="G36"/>
  <c r="H36"/>
  <c r="F17"/>
  <c r="G17"/>
  <c r="H17"/>
  <c r="N17" i="3"/>
  <c r="O17"/>
  <c r="O36"/>
  <c r="N40"/>
  <c r="O40"/>
  <c r="F40"/>
  <c r="G40"/>
  <c r="H40"/>
  <c r="F36"/>
  <c r="G36"/>
  <c r="H36"/>
  <c r="F17"/>
  <c r="G17"/>
  <c r="H17"/>
  <c r="M40" i="2"/>
  <c r="N40"/>
  <c r="O40"/>
  <c r="M36"/>
  <c r="N36"/>
  <c r="O36"/>
  <c r="M17"/>
  <c r="N17"/>
  <c r="O17"/>
  <c r="F40"/>
  <c r="T40"/>
  <c r="G40"/>
  <c r="H40"/>
  <c r="F36"/>
  <c r="G36"/>
  <c r="H36"/>
  <c r="F17"/>
  <c r="G17"/>
  <c r="H17"/>
  <c r="F40" i="1"/>
  <c r="G40"/>
  <c r="H40"/>
  <c r="H36"/>
  <c r="G17"/>
  <c r="H17"/>
  <c r="M40" i="20"/>
  <c r="N40"/>
  <c r="O40"/>
  <c r="M36"/>
  <c r="M17"/>
  <c r="N17"/>
  <c r="O17"/>
  <c r="F40"/>
  <c r="G40"/>
  <c r="H40"/>
  <c r="F36"/>
  <c r="G36"/>
  <c r="H36"/>
  <c r="F17"/>
  <c r="G17"/>
  <c r="H17"/>
  <c r="J39" i="8"/>
  <c r="K39"/>
  <c r="L39"/>
  <c r="K38"/>
  <c r="K40"/>
  <c r="L38"/>
  <c r="L40"/>
  <c r="J38"/>
  <c r="J34"/>
  <c r="K34"/>
  <c r="J35"/>
  <c r="K35"/>
  <c r="J27"/>
  <c r="Q27"/>
  <c r="K27"/>
  <c r="J28"/>
  <c r="K28"/>
  <c r="J29"/>
  <c r="K29"/>
  <c r="J30"/>
  <c r="K30"/>
  <c r="J31"/>
  <c r="K31"/>
  <c r="R31"/>
  <c r="J32"/>
  <c r="K32"/>
  <c r="J33"/>
  <c r="K33"/>
  <c r="J20"/>
  <c r="K20"/>
  <c r="J21"/>
  <c r="K21"/>
  <c r="J22"/>
  <c r="K22"/>
  <c r="J23"/>
  <c r="K23"/>
  <c r="R23"/>
  <c r="J24"/>
  <c r="Q24"/>
  <c r="K24"/>
  <c r="R24"/>
  <c r="J25"/>
  <c r="K25"/>
  <c r="R25"/>
  <c r="J26"/>
  <c r="K26"/>
  <c r="K19"/>
  <c r="R19"/>
  <c r="L19"/>
  <c r="S19"/>
  <c r="J19"/>
  <c r="J36"/>
  <c r="J12"/>
  <c r="K12"/>
  <c r="J13"/>
  <c r="K13"/>
  <c r="R13"/>
  <c r="J14"/>
  <c r="K14"/>
  <c r="R14"/>
  <c r="J15"/>
  <c r="K15"/>
  <c r="J16"/>
  <c r="K16"/>
  <c r="J8"/>
  <c r="K8"/>
  <c r="R8"/>
  <c r="J9"/>
  <c r="Q9"/>
  <c r="K9"/>
  <c r="J10"/>
  <c r="Q10"/>
  <c r="K10"/>
  <c r="R10"/>
  <c r="J11"/>
  <c r="K11"/>
  <c r="R11"/>
  <c r="J7"/>
  <c r="Q7"/>
  <c r="K7"/>
  <c r="R7"/>
  <c r="K6"/>
  <c r="L6"/>
  <c r="J6"/>
  <c r="J17"/>
  <c r="J40" i="19"/>
  <c r="K40"/>
  <c r="J36"/>
  <c r="K36"/>
  <c r="J17"/>
  <c r="J42"/>
  <c r="K17"/>
  <c r="K38" i="14"/>
  <c r="J6"/>
  <c r="J10"/>
  <c r="J14"/>
  <c r="J27"/>
  <c r="J28"/>
  <c r="J32"/>
  <c r="J34"/>
  <c r="K6"/>
  <c r="K8"/>
  <c r="K10"/>
  <c r="K12"/>
  <c r="K14"/>
  <c r="K16"/>
  <c r="K31"/>
  <c r="K33"/>
  <c r="K35"/>
  <c r="K39"/>
  <c r="K17" i="12"/>
  <c r="L17"/>
  <c r="M17"/>
  <c r="N17"/>
  <c r="J17"/>
  <c r="J33" i="14"/>
  <c r="J21"/>
  <c r="J25"/>
  <c r="J29"/>
  <c r="K29"/>
  <c r="K30"/>
  <c r="K19"/>
  <c r="J19"/>
  <c r="J7"/>
  <c r="K7"/>
  <c r="J8"/>
  <c r="J9"/>
  <c r="K9"/>
  <c r="J11"/>
  <c r="K11"/>
  <c r="J12"/>
  <c r="J13"/>
  <c r="K13"/>
  <c r="J15"/>
  <c r="K15"/>
  <c r="J16"/>
  <c r="H17" i="11"/>
  <c r="S20" i="10"/>
  <c r="S22"/>
  <c r="S24"/>
  <c r="S26"/>
  <c r="S28"/>
  <c r="S30"/>
  <c r="S32"/>
  <c r="S34"/>
  <c r="S38"/>
  <c r="S39"/>
  <c r="L40"/>
  <c r="M40"/>
  <c r="O40"/>
  <c r="L36"/>
  <c r="M36"/>
  <c r="O36"/>
  <c r="L17"/>
  <c r="M17"/>
  <c r="S7"/>
  <c r="S9"/>
  <c r="S11"/>
  <c r="S13"/>
  <c r="S16"/>
  <c r="M17" i="19"/>
  <c r="M36"/>
  <c r="M40"/>
  <c r="L17"/>
  <c r="L36"/>
  <c r="L40"/>
  <c r="L40" i="20"/>
  <c r="K40"/>
  <c r="J40"/>
  <c r="E40"/>
  <c r="D40"/>
  <c r="R40"/>
  <c r="C40"/>
  <c r="S39"/>
  <c r="R39"/>
  <c r="Q39"/>
  <c r="S38"/>
  <c r="R38"/>
  <c r="Q38"/>
  <c r="L36"/>
  <c r="J36"/>
  <c r="E36"/>
  <c r="D36"/>
  <c r="C36"/>
  <c r="R35"/>
  <c r="Q35"/>
  <c r="R34"/>
  <c r="Q34"/>
  <c r="R33"/>
  <c r="Q33"/>
  <c r="R32"/>
  <c r="Q32"/>
  <c r="R31"/>
  <c r="Q31"/>
  <c r="R30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R20"/>
  <c r="Q20"/>
  <c r="S19"/>
  <c r="Q19"/>
  <c r="E17"/>
  <c r="E42"/>
  <c r="D17"/>
  <c r="D42"/>
  <c r="C17"/>
  <c r="C42"/>
  <c r="Q16"/>
  <c r="R15"/>
  <c r="Q14"/>
  <c r="R13"/>
  <c r="R12"/>
  <c r="Q12"/>
  <c r="R11"/>
  <c r="Q11"/>
  <c r="R10"/>
  <c r="Q10"/>
  <c r="R9"/>
  <c r="Q9"/>
  <c r="R8"/>
  <c r="Q8"/>
  <c r="R7"/>
  <c r="Q7"/>
  <c r="S6"/>
  <c r="D40" i="19"/>
  <c r="E40"/>
  <c r="F40"/>
  <c r="H40"/>
  <c r="D36"/>
  <c r="E36"/>
  <c r="F36"/>
  <c r="H36"/>
  <c r="E17"/>
  <c r="F17"/>
  <c r="H17"/>
  <c r="C40"/>
  <c r="C36"/>
  <c r="D17"/>
  <c r="D42"/>
  <c r="C17"/>
  <c r="O40" i="15"/>
  <c r="M40"/>
  <c r="L40"/>
  <c r="K40"/>
  <c r="J40"/>
  <c r="R39"/>
  <c r="Q39"/>
  <c r="F40"/>
  <c r="M36"/>
  <c r="L36"/>
  <c r="K36"/>
  <c r="R35"/>
  <c r="Q35"/>
  <c r="R34"/>
  <c r="Q34"/>
  <c r="R33"/>
  <c r="Q33"/>
  <c r="R32"/>
  <c r="Q32"/>
  <c r="R31"/>
  <c r="Q31"/>
  <c r="R30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R20"/>
  <c r="Q20"/>
  <c r="E36"/>
  <c r="L17"/>
  <c r="L42"/>
  <c r="K17"/>
  <c r="Q16"/>
  <c r="Q15"/>
  <c r="Q14"/>
  <c r="Q13"/>
  <c r="Q12"/>
  <c r="Q11"/>
  <c r="Q10"/>
  <c r="Q9"/>
  <c r="Q8"/>
  <c r="Q7"/>
  <c r="E17"/>
  <c r="H40" i="13"/>
  <c r="F40"/>
  <c r="E40"/>
  <c r="D40"/>
  <c r="C40"/>
  <c r="H36"/>
  <c r="F36"/>
  <c r="E36"/>
  <c r="D36"/>
  <c r="C36"/>
  <c r="D17"/>
  <c r="C17"/>
  <c r="H17"/>
  <c r="F17"/>
  <c r="E17"/>
  <c r="N40" i="12"/>
  <c r="M40"/>
  <c r="L40"/>
  <c r="K40"/>
  <c r="J40"/>
  <c r="R39"/>
  <c r="Q38"/>
  <c r="G40"/>
  <c r="E40"/>
  <c r="N36"/>
  <c r="N42"/>
  <c r="M36"/>
  <c r="L36"/>
  <c r="L42"/>
  <c r="K36"/>
  <c r="E36"/>
  <c r="R35"/>
  <c r="Q35"/>
  <c r="R33"/>
  <c r="Q33"/>
  <c r="R32"/>
  <c r="Q32"/>
  <c r="R31"/>
  <c r="Q31"/>
  <c r="R30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R20"/>
  <c r="Q20"/>
  <c r="S19"/>
  <c r="Q19"/>
  <c r="R16"/>
  <c r="Q16"/>
  <c r="R15"/>
  <c r="R14"/>
  <c r="R13"/>
  <c r="R12"/>
  <c r="R11"/>
  <c r="R10"/>
  <c r="R9"/>
  <c r="R8"/>
  <c r="R7"/>
  <c r="S6"/>
  <c r="Q6"/>
  <c r="C40" i="11"/>
  <c r="E40"/>
  <c r="E36"/>
  <c r="C36"/>
  <c r="C17"/>
  <c r="D40" i="10"/>
  <c r="C40"/>
  <c r="H40"/>
  <c r="F40"/>
  <c r="E40"/>
  <c r="S40"/>
  <c r="R39"/>
  <c r="Q39"/>
  <c r="R38"/>
  <c r="Q38"/>
  <c r="D36"/>
  <c r="C36"/>
  <c r="Q36"/>
  <c r="E36"/>
  <c r="R35"/>
  <c r="Q35"/>
  <c r="R34"/>
  <c r="Q34"/>
  <c r="R33"/>
  <c r="Q33"/>
  <c r="R32"/>
  <c r="Q32"/>
  <c r="R31"/>
  <c r="Q31"/>
  <c r="R30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R20"/>
  <c r="Q20"/>
  <c r="R19"/>
  <c r="Q19"/>
  <c r="R16"/>
  <c r="Q16"/>
  <c r="R14"/>
  <c r="Q14"/>
  <c r="R13"/>
  <c r="Q13"/>
  <c r="R12"/>
  <c r="Q12"/>
  <c r="R11"/>
  <c r="Q11"/>
  <c r="R10"/>
  <c r="Q10"/>
  <c r="R9"/>
  <c r="Q9"/>
  <c r="R8"/>
  <c r="Q8"/>
  <c r="R7"/>
  <c r="Q7"/>
  <c r="R6"/>
  <c r="Q6"/>
  <c r="H40" i="9"/>
  <c r="F40"/>
  <c r="E40"/>
  <c r="D40"/>
  <c r="C40"/>
  <c r="H36"/>
  <c r="F36"/>
  <c r="E36"/>
  <c r="D36"/>
  <c r="C36"/>
  <c r="D17"/>
  <c r="C17"/>
  <c r="C42"/>
  <c r="H17"/>
  <c r="E17"/>
  <c r="E42"/>
  <c r="M40" i="8"/>
  <c r="D40"/>
  <c r="L36"/>
  <c r="S35"/>
  <c r="S34"/>
  <c r="Q34"/>
  <c r="Q33"/>
  <c r="S32"/>
  <c r="R32"/>
  <c r="Q30"/>
  <c r="S29"/>
  <c r="R29"/>
  <c r="Q28"/>
  <c r="R26"/>
  <c r="Q25"/>
  <c r="S24"/>
  <c r="Q22"/>
  <c r="S21"/>
  <c r="R21"/>
  <c r="S20"/>
  <c r="R20"/>
  <c r="R16"/>
  <c r="R15"/>
  <c r="S13"/>
  <c r="R12"/>
  <c r="Q11"/>
  <c r="R9"/>
  <c r="Q8"/>
  <c r="O40" i="7"/>
  <c r="M40"/>
  <c r="L40"/>
  <c r="K40"/>
  <c r="J40"/>
  <c r="M36"/>
  <c r="L36"/>
  <c r="K36"/>
  <c r="J36"/>
  <c r="S35"/>
  <c r="Q31"/>
  <c r="R30"/>
  <c r="S29"/>
  <c r="M17"/>
  <c r="L17"/>
  <c r="K17"/>
  <c r="J17"/>
  <c r="K40" i="6"/>
  <c r="J40"/>
  <c r="H40"/>
  <c r="F40"/>
  <c r="E40"/>
  <c r="C40"/>
  <c r="Q40"/>
  <c r="S39"/>
  <c r="R39"/>
  <c r="Q39"/>
  <c r="S38"/>
  <c r="R38"/>
  <c r="Q38"/>
  <c r="O40"/>
  <c r="M40"/>
  <c r="L40"/>
  <c r="O36"/>
  <c r="V36"/>
  <c r="M36"/>
  <c r="L36"/>
  <c r="K36"/>
  <c r="J36"/>
  <c r="R35"/>
  <c r="Q35"/>
  <c r="S35"/>
  <c r="R34"/>
  <c r="Q34"/>
  <c r="S34"/>
  <c r="R33"/>
  <c r="Q33"/>
  <c r="S33"/>
  <c r="S32"/>
  <c r="R32"/>
  <c r="Q32"/>
  <c r="S31"/>
  <c r="R31"/>
  <c r="Q31"/>
  <c r="S30"/>
  <c r="R30"/>
  <c r="Q30"/>
  <c r="S29"/>
  <c r="R29"/>
  <c r="Q29"/>
  <c r="S28"/>
  <c r="R28"/>
  <c r="Q28"/>
  <c r="S27"/>
  <c r="R27"/>
  <c r="Q27"/>
  <c r="S26"/>
  <c r="R26"/>
  <c r="Q26"/>
  <c r="R25"/>
  <c r="Q25"/>
  <c r="S25"/>
  <c r="R24"/>
  <c r="Q24"/>
  <c r="S24"/>
  <c r="S23"/>
  <c r="R23"/>
  <c r="Q23"/>
  <c r="S22"/>
  <c r="R22"/>
  <c r="Q22"/>
  <c r="S21"/>
  <c r="R21"/>
  <c r="Q21"/>
  <c r="R20"/>
  <c r="F36"/>
  <c r="T36"/>
  <c r="E36"/>
  <c r="S36"/>
  <c r="D36"/>
  <c r="R36"/>
  <c r="C36"/>
  <c r="Q36"/>
  <c r="S19"/>
  <c r="R19"/>
  <c r="Q19"/>
  <c r="K17"/>
  <c r="J17"/>
  <c r="S16"/>
  <c r="R16"/>
  <c r="Q16"/>
  <c r="S15"/>
  <c r="R15"/>
  <c r="Q15"/>
  <c r="S14"/>
  <c r="Q14"/>
  <c r="R14"/>
  <c r="S13"/>
  <c r="R13"/>
  <c r="Q13"/>
  <c r="S12"/>
  <c r="R12"/>
  <c r="Q12"/>
  <c r="S11"/>
  <c r="R11"/>
  <c r="Q11"/>
  <c r="M17"/>
  <c r="L17"/>
  <c r="S10"/>
  <c r="R10"/>
  <c r="Q10"/>
  <c r="S9"/>
  <c r="R9"/>
  <c r="Q9"/>
  <c r="R8"/>
  <c r="F17"/>
  <c r="E17"/>
  <c r="D17"/>
  <c r="C17"/>
  <c r="C42"/>
  <c r="S7"/>
  <c r="R7"/>
  <c r="Q7"/>
  <c r="S6"/>
  <c r="R6"/>
  <c r="Q6"/>
  <c r="E40" i="5"/>
  <c r="D40"/>
  <c r="C40"/>
  <c r="H36"/>
  <c r="F36"/>
  <c r="E36"/>
  <c r="D36"/>
  <c r="C36"/>
  <c r="E17"/>
  <c r="D17"/>
  <c r="C17"/>
  <c r="C42"/>
  <c r="E40" i="4"/>
  <c r="D40"/>
  <c r="C40"/>
  <c r="E36"/>
  <c r="D36"/>
  <c r="C36"/>
  <c r="E17"/>
  <c r="D17"/>
  <c r="C17"/>
  <c r="L40" i="3"/>
  <c r="J40"/>
  <c r="E40"/>
  <c r="D40"/>
  <c r="C40"/>
  <c r="R39"/>
  <c r="R38"/>
  <c r="M36"/>
  <c r="K36"/>
  <c r="E36"/>
  <c r="D36"/>
  <c r="C36"/>
  <c r="R35"/>
  <c r="Q34"/>
  <c r="R33"/>
  <c r="Q32"/>
  <c r="R31"/>
  <c r="Q30"/>
  <c r="R29"/>
  <c r="Q28"/>
  <c r="R27"/>
  <c r="Q26"/>
  <c r="R25"/>
  <c r="Q24"/>
  <c r="R23"/>
  <c r="Q22"/>
  <c r="R21"/>
  <c r="Q20"/>
  <c r="R19"/>
  <c r="E17"/>
  <c r="D17"/>
  <c r="C17"/>
  <c r="R16"/>
  <c r="Q16"/>
  <c r="R15"/>
  <c r="Q15"/>
  <c r="R14"/>
  <c r="Q14"/>
  <c r="R13"/>
  <c r="Q13"/>
  <c r="R12"/>
  <c r="Q12"/>
  <c r="R11"/>
  <c r="Q11"/>
  <c r="R9"/>
  <c r="Q9"/>
  <c r="R8"/>
  <c r="Q8"/>
  <c r="R7"/>
  <c r="Q7"/>
  <c r="S6"/>
  <c r="R6"/>
  <c r="Q6"/>
  <c r="E40" i="2"/>
  <c r="D40"/>
  <c r="C40"/>
  <c r="S39"/>
  <c r="R39"/>
  <c r="Q39"/>
  <c r="E36"/>
  <c r="D36"/>
  <c r="C36"/>
  <c r="S35"/>
  <c r="R35"/>
  <c r="Q35"/>
  <c r="S34"/>
  <c r="R34"/>
  <c r="Q34"/>
  <c r="S33"/>
  <c r="R33"/>
  <c r="Q33"/>
  <c r="S32"/>
  <c r="R32"/>
  <c r="Q32"/>
  <c r="S31"/>
  <c r="R31"/>
  <c r="Q31"/>
  <c r="S30"/>
  <c r="R30"/>
  <c r="Q30"/>
  <c r="S29"/>
  <c r="R29"/>
  <c r="Q29"/>
  <c r="S28"/>
  <c r="R28"/>
  <c r="Q28"/>
  <c r="S27"/>
  <c r="R27"/>
  <c r="Q27"/>
  <c r="S26"/>
  <c r="R26"/>
  <c r="Q26"/>
  <c r="S25"/>
  <c r="R25"/>
  <c r="Q25"/>
  <c r="S24"/>
  <c r="R24"/>
  <c r="Q24"/>
  <c r="S23"/>
  <c r="R23"/>
  <c r="Q23"/>
  <c r="S22"/>
  <c r="R22"/>
  <c r="Q22"/>
  <c r="S21"/>
  <c r="R21"/>
  <c r="Q21"/>
  <c r="S20"/>
  <c r="R20"/>
  <c r="Q20"/>
  <c r="L36"/>
  <c r="J36"/>
  <c r="Q36"/>
  <c r="E17"/>
  <c r="D17"/>
  <c r="C17"/>
  <c r="S16"/>
  <c r="R16"/>
  <c r="Q16"/>
  <c r="S15"/>
  <c r="R15"/>
  <c r="Q15"/>
  <c r="S14"/>
  <c r="R14"/>
  <c r="Q14"/>
  <c r="S13"/>
  <c r="R13"/>
  <c r="Q13"/>
  <c r="S12"/>
  <c r="R12"/>
  <c r="Q12"/>
  <c r="S11"/>
  <c r="R11"/>
  <c r="Q11"/>
  <c r="S10"/>
  <c r="R10"/>
  <c r="Q10"/>
  <c r="S9"/>
  <c r="R9"/>
  <c r="Q9"/>
  <c r="S8"/>
  <c r="R8"/>
  <c r="Q8"/>
  <c r="S7"/>
  <c r="R7"/>
  <c r="Q7"/>
  <c r="E40" i="1"/>
  <c r="D40"/>
  <c r="C40"/>
  <c r="E36"/>
  <c r="D36"/>
  <c r="C36"/>
  <c r="E17"/>
  <c r="D17"/>
  <c r="C17"/>
  <c r="K36" i="2"/>
  <c r="R36"/>
  <c r="D17" i="15"/>
  <c r="R17"/>
  <c r="K40" i="2"/>
  <c r="F17" i="15"/>
  <c r="K17" i="2"/>
  <c r="R17"/>
  <c r="Q19"/>
  <c r="H36" i="15"/>
  <c r="J17" i="2"/>
  <c r="L17"/>
  <c r="S19"/>
  <c r="J40"/>
  <c r="L40"/>
  <c r="L42"/>
  <c r="R38" i="15"/>
  <c r="S6"/>
  <c r="D36"/>
  <c r="F36"/>
  <c r="T36"/>
  <c r="R19"/>
  <c r="C40"/>
  <c r="Q40"/>
  <c r="E40"/>
  <c r="S40"/>
  <c r="H40"/>
  <c r="V40"/>
  <c r="R6"/>
  <c r="Q19"/>
  <c r="S19"/>
  <c r="Q38"/>
  <c r="S38"/>
  <c r="E42" i="13"/>
  <c r="S38" i="12"/>
  <c r="F17" i="11"/>
  <c r="F17" i="9"/>
  <c r="V17" i="6"/>
  <c r="S40"/>
  <c r="V40"/>
  <c r="F42"/>
  <c r="T40"/>
  <c r="Q8"/>
  <c r="S8"/>
  <c r="Q20"/>
  <c r="S20"/>
  <c r="D40"/>
  <c r="R40"/>
  <c r="Q40" i="2"/>
  <c r="S36"/>
  <c r="Q6"/>
  <c r="S6"/>
  <c r="R19"/>
  <c r="Q38"/>
  <c r="S38"/>
  <c r="R40"/>
  <c r="C42"/>
  <c r="R6"/>
  <c r="R38"/>
  <c r="O42" i="10"/>
  <c r="M17" i="15"/>
  <c r="U14"/>
  <c r="S14"/>
  <c r="U13"/>
  <c r="S13"/>
  <c r="U11"/>
  <c r="J36"/>
  <c r="O42" i="3"/>
  <c r="V36"/>
  <c r="N36"/>
  <c r="N42"/>
  <c r="R19" i="20"/>
  <c r="C42" i="19"/>
  <c r="E42"/>
  <c r="O40" i="8"/>
  <c r="C17" i="15"/>
  <c r="D42" i="3"/>
  <c r="V40" i="2"/>
  <c r="U40"/>
  <c r="S40"/>
  <c r="E42" i="4"/>
  <c r="G17" i="15"/>
  <c r="H42" i="6"/>
  <c r="N36" i="8"/>
  <c r="J42" i="2"/>
  <c r="E42" i="5"/>
  <c r="D42"/>
  <c r="D42" i="4"/>
  <c r="C42"/>
  <c r="K42" i="2"/>
  <c r="Q20" i="8"/>
  <c r="R17" i="6"/>
  <c r="Q17" i="2"/>
  <c r="C42" i="3"/>
  <c r="Q42" i="2"/>
  <c r="K17" i="8"/>
  <c r="O17"/>
  <c r="R38"/>
  <c r="L17"/>
  <c r="V6"/>
  <c r="U16"/>
  <c r="U13"/>
  <c r="H17" i="15"/>
  <c r="Q36"/>
  <c r="R36"/>
  <c r="N36"/>
  <c r="U36"/>
  <c r="M40" i="18"/>
  <c r="K40"/>
  <c r="Q40" i="10"/>
  <c r="R40"/>
  <c r="D42" i="9"/>
  <c r="G17"/>
  <c r="J40" i="8"/>
  <c r="C40"/>
  <c r="Q40"/>
  <c r="Q13"/>
  <c r="D17"/>
  <c r="Q32"/>
  <c r="R34"/>
  <c r="R33"/>
  <c r="R30"/>
  <c r="S15"/>
  <c r="S11"/>
  <c r="S7"/>
  <c r="M36"/>
  <c r="N40"/>
  <c r="D32" i="17"/>
  <c r="R32" i="7"/>
  <c r="D27" i="17"/>
  <c r="R27"/>
  <c r="R27" i="7"/>
  <c r="D26" i="17"/>
  <c r="R26" i="7"/>
  <c r="Q28"/>
  <c r="R29"/>
  <c r="R6" i="8"/>
  <c r="Q16"/>
  <c r="R22"/>
  <c r="S25"/>
  <c r="R27"/>
  <c r="S28"/>
  <c r="R35"/>
  <c r="K36"/>
  <c r="R39"/>
  <c r="T27"/>
  <c r="V24"/>
  <c r="V22"/>
  <c r="T22"/>
  <c r="V32"/>
  <c r="T32"/>
  <c r="U38"/>
  <c r="V34"/>
  <c r="T34"/>
  <c r="Q15"/>
  <c r="E32" i="17"/>
  <c r="S32" i="7"/>
  <c r="Q17" i="6"/>
  <c r="C32" i="17"/>
  <c r="Q32"/>
  <c r="Q32" i="7"/>
  <c r="E30"/>
  <c r="C30" i="17"/>
  <c r="Q30" i="7"/>
  <c r="E27"/>
  <c r="C27" i="17"/>
  <c r="Q27" i="7"/>
  <c r="E22"/>
  <c r="E22" i="17"/>
  <c r="S22"/>
  <c r="E19" i="7"/>
  <c r="E19" i="17"/>
  <c r="E36" i="8"/>
  <c r="D25" i="7"/>
  <c r="D25" i="17"/>
  <c r="D36" i="8"/>
  <c r="D28" i="7"/>
  <c r="R28" i="8"/>
  <c r="C14" i="7"/>
  <c r="C14" i="17"/>
  <c r="Q14" i="8"/>
  <c r="C38" i="7"/>
  <c r="C38" i="17"/>
  <c r="Q38" i="8"/>
  <c r="D31" i="17"/>
  <c r="R31"/>
  <c r="R31" i="7"/>
  <c r="C12"/>
  <c r="C12" i="17"/>
  <c r="Q12" i="8"/>
  <c r="E9" i="7"/>
  <c r="E9" i="17"/>
  <c r="S9"/>
  <c r="S9" i="8"/>
  <c r="E6" i="7"/>
  <c r="E6" i="17"/>
  <c r="S6"/>
  <c r="E17" i="8"/>
  <c r="C29" i="17"/>
  <c r="Q29" i="7"/>
  <c r="C26"/>
  <c r="Q26" i="8"/>
  <c r="E33" i="7"/>
  <c r="E33" i="17"/>
  <c r="S33" i="8"/>
  <c r="E31" i="7"/>
  <c r="S31" i="8"/>
  <c r="E26" i="7"/>
  <c r="S26" i="8"/>
  <c r="E23" i="7"/>
  <c r="E23" i="17"/>
  <c r="S23" i="8"/>
  <c r="E38" i="7"/>
  <c r="E38" i="17"/>
  <c r="E40"/>
  <c r="E40" i="8"/>
  <c r="S38"/>
  <c r="D6" i="12"/>
  <c r="D17" i="11"/>
  <c r="E7" i="12"/>
  <c r="S7"/>
  <c r="E17" i="11"/>
  <c r="E42"/>
  <c r="H19" i="12"/>
  <c r="V19"/>
  <c r="H36" i="11"/>
  <c r="F19" i="12"/>
  <c r="T19"/>
  <c r="F36" i="11"/>
  <c r="D19" i="12"/>
  <c r="R19"/>
  <c r="D36" i="11"/>
  <c r="H38" i="12"/>
  <c r="H40" i="11"/>
  <c r="F38" i="12"/>
  <c r="F40" i="11"/>
  <c r="D38" i="12"/>
  <c r="D40" i="11"/>
  <c r="C40" i="12"/>
  <c r="Q40"/>
  <c r="Q39"/>
  <c r="Q23" i="8"/>
  <c r="Q21"/>
  <c r="Q31"/>
  <c r="Q29"/>
  <c r="Q35"/>
  <c r="S39"/>
  <c r="D40" i="17"/>
  <c r="S16" i="8"/>
  <c r="S14"/>
  <c r="S12"/>
  <c r="S10"/>
  <c r="S8"/>
  <c r="O6" i="4"/>
  <c r="V6" i="3"/>
  <c r="O36" i="8"/>
  <c r="S6"/>
  <c r="Q39"/>
  <c r="U6"/>
  <c r="U12"/>
  <c r="U7"/>
  <c r="V30"/>
  <c r="V26"/>
  <c r="T26"/>
  <c r="V23"/>
  <c r="T23"/>
  <c r="V35"/>
  <c r="T35"/>
  <c r="V31"/>
  <c r="T31"/>
  <c r="C40" i="17"/>
  <c r="C36" i="8"/>
  <c r="Q36"/>
  <c r="C19" i="7"/>
  <c r="C19" i="17"/>
  <c r="Q19"/>
  <c r="Q19" i="8"/>
  <c r="R36" i="10"/>
  <c r="Q36" i="1"/>
  <c r="S36"/>
  <c r="R40"/>
  <c r="M42" i="19"/>
  <c r="U40" i="20"/>
  <c r="F14" i="8"/>
  <c r="F10"/>
  <c r="F8"/>
  <c r="G19"/>
  <c r="F30"/>
  <c r="F28"/>
  <c r="G27"/>
  <c r="G25"/>
  <c r="G21"/>
  <c r="F20"/>
  <c r="H39"/>
  <c r="F39"/>
  <c r="G6" i="7"/>
  <c r="F16"/>
  <c r="F13"/>
  <c r="G12"/>
  <c r="G7"/>
  <c r="G28"/>
  <c r="F27"/>
  <c r="G26"/>
  <c r="G22"/>
  <c r="F35"/>
  <c r="G32"/>
  <c r="F31"/>
  <c r="H38"/>
  <c r="F38"/>
  <c r="S17" i="2"/>
  <c r="H42" i="13"/>
  <c r="R36" i="1"/>
  <c r="Q40" i="20"/>
  <c r="S40"/>
  <c r="V40"/>
  <c r="T40"/>
  <c r="G42" i="5"/>
  <c r="G14" i="8"/>
  <c r="G10"/>
  <c r="G8"/>
  <c r="H19"/>
  <c r="F19"/>
  <c r="G30"/>
  <c r="V29" i="7"/>
  <c r="T29"/>
  <c r="F29" i="17"/>
  <c r="F25" i="8"/>
  <c r="F21"/>
  <c r="G20"/>
  <c r="G39"/>
  <c r="H6" i="7"/>
  <c r="F6"/>
  <c r="G16"/>
  <c r="G13"/>
  <c r="F12"/>
  <c r="F7"/>
  <c r="F26"/>
  <c r="F22"/>
  <c r="G35"/>
  <c r="F32"/>
  <c r="G31"/>
  <c r="G38"/>
  <c r="N42"/>
  <c r="V38" i="12"/>
  <c r="H40"/>
  <c r="W40"/>
  <c r="G6" i="10"/>
  <c r="U6"/>
  <c r="D17" i="17"/>
  <c r="G40" i="10"/>
  <c r="U40"/>
  <c r="G17" i="11"/>
  <c r="Q6" i="1"/>
  <c r="S6"/>
  <c r="R16"/>
  <c r="R15"/>
  <c r="R14"/>
  <c r="T13"/>
  <c r="R13"/>
  <c r="T12"/>
  <c r="R12"/>
  <c r="R11"/>
  <c r="T10"/>
  <c r="R10"/>
  <c r="R9"/>
  <c r="T8"/>
  <c r="R8"/>
  <c r="T7"/>
  <c r="R7"/>
  <c r="Q19"/>
  <c r="U19"/>
  <c r="S19"/>
  <c r="V35"/>
  <c r="T35"/>
  <c r="V6"/>
  <c r="T6"/>
  <c r="R6"/>
  <c r="U16"/>
  <c r="S16"/>
  <c r="Q16"/>
  <c r="S15"/>
  <c r="Q15"/>
  <c r="U14"/>
  <c r="S14"/>
  <c r="Q14"/>
  <c r="U13"/>
  <c r="S13"/>
  <c r="Q13"/>
  <c r="U12"/>
  <c r="S12"/>
  <c r="Q12"/>
  <c r="S11"/>
  <c r="Q11"/>
  <c r="U10"/>
  <c r="S10"/>
  <c r="Q10"/>
  <c r="S9"/>
  <c r="Q9"/>
  <c r="U8"/>
  <c r="S8"/>
  <c r="Q8"/>
  <c r="Q7"/>
  <c r="V19"/>
  <c r="T19"/>
  <c r="R19"/>
  <c r="U35"/>
  <c r="S35"/>
  <c r="Q35"/>
  <c r="S34"/>
  <c r="Q34"/>
  <c r="S33"/>
  <c r="Q33"/>
  <c r="U32"/>
  <c r="S32"/>
  <c r="Q32"/>
  <c r="U31"/>
  <c r="S31"/>
  <c r="Q31"/>
  <c r="U30"/>
  <c r="S30"/>
  <c r="Q30"/>
  <c r="Q29"/>
  <c r="Q28"/>
  <c r="Q27"/>
  <c r="Q26"/>
  <c r="Q25"/>
  <c r="Q24"/>
  <c r="Q23"/>
  <c r="Q22"/>
  <c r="U21"/>
  <c r="S21"/>
  <c r="Q21"/>
  <c r="U20"/>
  <c r="S20"/>
  <c r="Q20"/>
  <c r="U38"/>
  <c r="S38"/>
  <c r="R39"/>
  <c r="V13" i="11"/>
  <c r="V7"/>
  <c r="V35"/>
  <c r="T35"/>
  <c r="V32"/>
  <c r="V30"/>
  <c r="V27"/>
  <c r="V25"/>
  <c r="T25"/>
  <c r="T21"/>
  <c r="S16" i="17"/>
  <c r="Q16"/>
  <c r="S15"/>
  <c r="Q15"/>
  <c r="S14"/>
  <c r="Q14"/>
  <c r="S13"/>
  <c r="Q13"/>
  <c r="S12"/>
  <c r="S11"/>
  <c r="Q11"/>
  <c r="S10"/>
  <c r="Q10"/>
  <c r="S8"/>
  <c r="Q8"/>
  <c r="S34"/>
  <c r="Q34"/>
  <c r="S32"/>
  <c r="Q30"/>
  <c r="S28"/>
  <c r="Q28"/>
  <c r="S24"/>
  <c r="Q24"/>
  <c r="Q22"/>
  <c r="S20"/>
  <c r="Q20"/>
  <c r="S39"/>
  <c r="Q39"/>
  <c r="R35" i="1"/>
  <c r="R34"/>
  <c r="R33"/>
  <c r="V32"/>
  <c r="T32"/>
  <c r="R32"/>
  <c r="V31"/>
  <c r="T31"/>
  <c r="R31"/>
  <c r="V30"/>
  <c r="T30"/>
  <c r="R30"/>
  <c r="V29"/>
  <c r="T29"/>
  <c r="R29"/>
  <c r="V28"/>
  <c r="T28"/>
  <c r="R28"/>
  <c r="V27"/>
  <c r="T27"/>
  <c r="R27"/>
  <c r="V26"/>
  <c r="T26"/>
  <c r="R26"/>
  <c r="V25"/>
  <c r="T25"/>
  <c r="R25"/>
  <c r="R24"/>
  <c r="R23"/>
  <c r="R22"/>
  <c r="R21"/>
  <c r="R20"/>
  <c r="Q38"/>
  <c r="T38"/>
  <c r="R38"/>
  <c r="U39"/>
  <c r="S39"/>
  <c r="Q39"/>
  <c r="U7" i="11"/>
  <c r="R19"/>
  <c r="Q6" i="15"/>
  <c r="R16" i="17"/>
  <c r="R15"/>
  <c r="R14"/>
  <c r="R13"/>
  <c r="R12"/>
  <c r="R11"/>
  <c r="R10"/>
  <c r="R8"/>
  <c r="R7"/>
  <c r="R35"/>
  <c r="R33"/>
  <c r="V29"/>
  <c r="R29"/>
  <c r="R25"/>
  <c r="R23"/>
  <c r="R21"/>
  <c r="O36" i="20"/>
  <c r="V36"/>
  <c r="G36" i="11"/>
  <c r="D36" i="12"/>
  <c r="R36"/>
  <c r="R34"/>
  <c r="C36"/>
  <c r="Q34"/>
  <c r="G34" i="7"/>
  <c r="F34"/>
  <c r="V34" i="11"/>
  <c r="V8" i="7"/>
  <c r="V8" i="8"/>
  <c r="V8" i="17"/>
  <c r="F23" i="7"/>
  <c r="G23"/>
  <c r="V34" i="1"/>
  <c r="T34"/>
  <c r="U34"/>
  <c r="V23"/>
  <c r="T23"/>
  <c r="V22"/>
  <c r="T22"/>
  <c r="E17" i="10"/>
  <c r="S17"/>
  <c r="S15"/>
  <c r="R15"/>
  <c r="D17"/>
  <c r="R17"/>
  <c r="Q15"/>
  <c r="C17"/>
  <c r="Q17"/>
  <c r="U15" i="11"/>
  <c r="S15" i="12"/>
  <c r="E17"/>
  <c r="C17"/>
  <c r="Q17"/>
  <c r="Q15"/>
  <c r="Q15" i="11"/>
  <c r="G15" i="17"/>
  <c r="U15"/>
  <c r="U15" i="7"/>
  <c r="U15" i="8"/>
  <c r="F15" i="7"/>
  <c r="U15" i="1"/>
  <c r="O36" i="14"/>
  <c r="F42" i="13"/>
  <c r="V33" i="11"/>
  <c r="T33"/>
  <c r="V33" i="17"/>
  <c r="V33" i="7"/>
  <c r="V33" i="8"/>
  <c r="G33" i="7"/>
  <c r="F33" i="17"/>
  <c r="T33" i="7"/>
  <c r="T33" i="8"/>
  <c r="U36" i="2"/>
  <c r="V33" i="1"/>
  <c r="U33"/>
  <c r="F36"/>
  <c r="T33"/>
  <c r="V9" i="11"/>
  <c r="F9" i="17"/>
  <c r="T9" i="7"/>
  <c r="T17" i="6"/>
  <c r="G9" i="7"/>
  <c r="T9" i="8"/>
  <c r="R9" i="17"/>
  <c r="Q9"/>
  <c r="U17" i="2"/>
  <c r="U9" i="1"/>
  <c r="T17" i="20"/>
  <c r="T9" i="1"/>
  <c r="G36" i="9"/>
  <c r="G42"/>
  <c r="G24" i="17"/>
  <c r="U24"/>
  <c r="U24" i="7"/>
  <c r="U24" i="8"/>
  <c r="F24" i="17"/>
  <c r="T24" i="7"/>
  <c r="T24" i="8"/>
  <c r="V36" i="2"/>
  <c r="V24" i="1"/>
  <c r="T36"/>
  <c r="T24"/>
  <c r="Q36" i="12"/>
  <c r="S36"/>
  <c r="S40"/>
  <c r="S36" i="15"/>
  <c r="R6" i="17"/>
  <c r="K17"/>
  <c r="R19"/>
  <c r="L40"/>
  <c r="S40"/>
  <c r="L6" i="18"/>
  <c r="O7"/>
  <c r="K7"/>
  <c r="J19"/>
  <c r="K19"/>
  <c r="K35"/>
  <c r="L34"/>
  <c r="J34"/>
  <c r="K33"/>
  <c r="L32"/>
  <c r="J32"/>
  <c r="K31"/>
  <c r="L30"/>
  <c r="J30"/>
  <c r="K29"/>
  <c r="L28"/>
  <c r="J28"/>
  <c r="K27"/>
  <c r="L26"/>
  <c r="J26"/>
  <c r="K25"/>
  <c r="L24"/>
  <c r="J24"/>
  <c r="K23"/>
  <c r="L22"/>
  <c r="J22"/>
  <c r="K21"/>
  <c r="L20"/>
  <c r="J20"/>
  <c r="L38"/>
  <c r="L39"/>
  <c r="J39"/>
  <c r="J40"/>
  <c r="L7" i="17"/>
  <c r="S7"/>
  <c r="J7"/>
  <c r="Q7"/>
  <c r="L19"/>
  <c r="L35"/>
  <c r="S35"/>
  <c r="J35"/>
  <c r="Q35"/>
  <c r="K34"/>
  <c r="R34"/>
  <c r="L33"/>
  <c r="J33"/>
  <c r="Q33"/>
  <c r="K32"/>
  <c r="L31"/>
  <c r="J31"/>
  <c r="Q31"/>
  <c r="K30"/>
  <c r="R30"/>
  <c r="L29"/>
  <c r="S29"/>
  <c r="J29"/>
  <c r="Q29"/>
  <c r="K28"/>
  <c r="L27"/>
  <c r="J27"/>
  <c r="K26"/>
  <c r="R26"/>
  <c r="L25"/>
  <c r="S25"/>
  <c r="J25"/>
  <c r="Q25"/>
  <c r="K24"/>
  <c r="R24"/>
  <c r="L23"/>
  <c r="S23"/>
  <c r="J23"/>
  <c r="Q23"/>
  <c r="K22"/>
  <c r="R22"/>
  <c r="L21"/>
  <c r="S21"/>
  <c r="J21"/>
  <c r="Q21"/>
  <c r="K20"/>
  <c r="R20"/>
  <c r="J38"/>
  <c r="K38"/>
  <c r="K39"/>
  <c r="R39"/>
  <c r="U40" i="12"/>
  <c r="R40" i="15"/>
  <c r="J6" i="18"/>
  <c r="K6"/>
  <c r="J6" i="17"/>
  <c r="O12"/>
  <c r="O17"/>
  <c r="O17" i="15"/>
  <c r="V12"/>
  <c r="O36"/>
  <c r="V36"/>
  <c r="V19"/>
  <c r="V27"/>
  <c r="O40" i="17"/>
  <c r="O39" i="18"/>
  <c r="O38"/>
  <c r="O42" i="12"/>
  <c r="P42" i="14"/>
  <c r="O6" i="18"/>
  <c r="V11" i="10"/>
  <c r="H17"/>
  <c r="U11"/>
  <c r="T11"/>
  <c r="F17"/>
  <c r="H17" i="12"/>
  <c r="W17"/>
  <c r="U11"/>
  <c r="G17"/>
  <c r="V17"/>
  <c r="F17"/>
  <c r="T17"/>
  <c r="T11"/>
  <c r="G11" i="17"/>
  <c r="U11"/>
  <c r="U11" i="7"/>
  <c r="U11" i="8"/>
  <c r="F11" i="7"/>
  <c r="V17" i="2"/>
  <c r="T17"/>
  <c r="V17" i="20"/>
  <c r="U17"/>
  <c r="U11" i="1"/>
  <c r="F17"/>
  <c r="T11"/>
  <c r="H39" i="18"/>
  <c r="V39"/>
  <c r="V39" i="13"/>
  <c r="O39" i="4"/>
  <c r="V39"/>
  <c r="O39" i="5"/>
  <c r="V39"/>
  <c r="O38" i="9"/>
  <c r="O38" i="11"/>
  <c r="O38" i="13"/>
  <c r="V38" i="14"/>
  <c r="U39" i="20"/>
  <c r="V38"/>
  <c r="T38"/>
  <c r="V40" i="1"/>
  <c r="T40"/>
  <c r="V39"/>
  <c r="T39"/>
  <c r="V39" i="3"/>
  <c r="O39" i="9"/>
  <c r="V39"/>
  <c r="O39" i="11"/>
  <c r="V39"/>
  <c r="U38" i="20"/>
  <c r="U40" i="1"/>
  <c r="S40"/>
  <c r="Q40"/>
  <c r="V35" i="3"/>
  <c r="O35" i="4"/>
  <c r="V35"/>
  <c r="O35" i="5"/>
  <c r="V35"/>
  <c r="O35" i="9"/>
  <c r="V35"/>
  <c r="O35" i="13"/>
  <c r="U35" i="20"/>
  <c r="S35"/>
  <c r="V35"/>
  <c r="T35"/>
  <c r="O16" i="4"/>
  <c r="V16"/>
  <c r="O16" i="5"/>
  <c r="V16"/>
  <c r="O16" i="9"/>
  <c r="V16"/>
  <c r="O16" i="11"/>
  <c r="V16"/>
  <c r="V16" i="14"/>
  <c r="U16" i="20"/>
  <c r="S16"/>
  <c r="T16" i="1"/>
  <c r="V34" i="3"/>
  <c r="O34" i="4"/>
  <c r="V34"/>
  <c r="O34" i="5"/>
  <c r="V34"/>
  <c r="O34" i="9"/>
  <c r="V34"/>
  <c r="O34" i="13"/>
  <c r="U34" i="20"/>
  <c r="S34"/>
  <c r="V34"/>
  <c r="T34"/>
  <c r="V15" i="13"/>
  <c r="V15" i="14"/>
  <c r="T15" i="3"/>
  <c r="U15" i="20"/>
  <c r="S15"/>
  <c r="T15" i="1"/>
  <c r="V15" i="3"/>
  <c r="O15" i="4"/>
  <c r="V15"/>
  <c r="O15" i="5"/>
  <c r="V15"/>
  <c r="O15" i="9"/>
  <c r="V15"/>
  <c r="O15" i="11"/>
  <c r="V15"/>
  <c r="V33" i="3"/>
  <c r="O33" i="4"/>
  <c r="V33"/>
  <c r="O33" i="5"/>
  <c r="V33"/>
  <c r="O33" i="9"/>
  <c r="V33"/>
  <c r="O33" i="13"/>
  <c r="U33" i="20"/>
  <c r="S33"/>
  <c r="V33"/>
  <c r="T33"/>
  <c r="V14" i="3"/>
  <c r="S14"/>
  <c r="N14" i="4"/>
  <c r="U14"/>
  <c r="J14"/>
  <c r="Q14"/>
  <c r="O14" i="5"/>
  <c r="V14"/>
  <c r="O14" i="9"/>
  <c r="V14"/>
  <c r="O14" i="11"/>
  <c r="V14"/>
  <c r="U14" i="20"/>
  <c r="S14"/>
  <c r="T14" i="1"/>
  <c r="U14" i="3"/>
  <c r="L14" i="4"/>
  <c r="S14"/>
  <c r="V31" i="13"/>
  <c r="H31" i="18"/>
  <c r="V31" i="3"/>
  <c r="O32" i="4"/>
  <c r="V32"/>
  <c r="O30"/>
  <c r="V30"/>
  <c r="O32" i="5"/>
  <c r="V32"/>
  <c r="O30"/>
  <c r="V30"/>
  <c r="O32" i="9"/>
  <c r="V32"/>
  <c r="O30"/>
  <c r="V30"/>
  <c r="O31" i="11"/>
  <c r="V31"/>
  <c r="O32" i="13"/>
  <c r="V32" i="14"/>
  <c r="O30" i="13"/>
  <c r="U32" i="20"/>
  <c r="S32"/>
  <c r="U31"/>
  <c r="S31"/>
  <c r="U30"/>
  <c r="S30"/>
  <c r="V32" i="3"/>
  <c r="V30"/>
  <c r="O31" i="4"/>
  <c r="V31"/>
  <c r="O31" i="5"/>
  <c r="V31"/>
  <c r="O31" i="9"/>
  <c r="V31"/>
  <c r="V32" i="20"/>
  <c r="T32"/>
  <c r="V31"/>
  <c r="T31"/>
  <c r="V30"/>
  <c r="T30"/>
  <c r="V12" i="13"/>
  <c r="V10"/>
  <c r="S12" i="3"/>
  <c r="U11"/>
  <c r="V10"/>
  <c r="O11" i="4"/>
  <c r="V11"/>
  <c r="O11" i="5"/>
  <c r="V11"/>
  <c r="O11" i="9"/>
  <c r="V11"/>
  <c r="O11" i="11"/>
  <c r="V11"/>
  <c r="T13" i="20"/>
  <c r="V12"/>
  <c r="T12"/>
  <c r="V11"/>
  <c r="T11"/>
  <c r="V10"/>
  <c r="T10"/>
  <c r="V12" i="3"/>
  <c r="S11"/>
  <c r="U10"/>
  <c r="O12" i="4"/>
  <c r="V12"/>
  <c r="O10"/>
  <c r="V10"/>
  <c r="O12" i="5"/>
  <c r="V12"/>
  <c r="O10"/>
  <c r="V10"/>
  <c r="O12" i="9"/>
  <c r="V12"/>
  <c r="O10"/>
  <c r="V10"/>
  <c r="O12" i="11"/>
  <c r="V12"/>
  <c r="O10"/>
  <c r="V10"/>
  <c r="U13" i="20"/>
  <c r="S13"/>
  <c r="U12"/>
  <c r="S12"/>
  <c r="U11"/>
  <c r="S11"/>
  <c r="U10"/>
  <c r="S10"/>
  <c r="H28" i="18"/>
  <c r="V28"/>
  <c r="V28" i="13"/>
  <c r="V28" i="3"/>
  <c r="V26"/>
  <c r="U25"/>
  <c r="O29" i="4"/>
  <c r="V29"/>
  <c r="O27"/>
  <c r="V27"/>
  <c r="O25"/>
  <c r="V25"/>
  <c r="O29" i="5"/>
  <c r="V29"/>
  <c r="O27"/>
  <c r="V27"/>
  <c r="O25"/>
  <c r="V25"/>
  <c r="O29" i="9"/>
  <c r="O27"/>
  <c r="V27"/>
  <c r="O25"/>
  <c r="V25"/>
  <c r="O28" i="11"/>
  <c r="V28"/>
  <c r="O26"/>
  <c r="V26"/>
  <c r="O29" i="13"/>
  <c r="O27"/>
  <c r="V27" i="14"/>
  <c r="O25" i="13"/>
  <c r="H25" i="18"/>
  <c r="V29" i="20"/>
  <c r="T29"/>
  <c r="V28"/>
  <c r="T28"/>
  <c r="V27"/>
  <c r="T27"/>
  <c r="V26"/>
  <c r="T26"/>
  <c r="V25"/>
  <c r="T25"/>
  <c r="U29" i="1"/>
  <c r="S29"/>
  <c r="U28"/>
  <c r="S28"/>
  <c r="U27"/>
  <c r="S27"/>
  <c r="U26"/>
  <c r="S26"/>
  <c r="U25"/>
  <c r="S25"/>
  <c r="V26" i="18"/>
  <c r="V29" i="3"/>
  <c r="V27"/>
  <c r="V25"/>
  <c r="S25"/>
  <c r="O28" i="4"/>
  <c r="V28"/>
  <c r="O26"/>
  <c r="V26"/>
  <c r="O28" i="5"/>
  <c r="V28"/>
  <c r="O26"/>
  <c r="V26"/>
  <c r="O28" i="9"/>
  <c r="V28"/>
  <c r="O26"/>
  <c r="V26"/>
  <c r="V8" i="13"/>
  <c r="V8" i="3"/>
  <c r="O9" i="4"/>
  <c r="V9"/>
  <c r="O9" i="5"/>
  <c r="V9"/>
  <c r="O9" i="9"/>
  <c r="V9"/>
  <c r="O8" i="11"/>
  <c r="V8"/>
  <c r="V9" i="20"/>
  <c r="T9"/>
  <c r="V8"/>
  <c r="T8"/>
  <c r="V9" i="3"/>
  <c r="O8" i="4"/>
  <c r="V8"/>
  <c r="O8" i="5"/>
  <c r="V8"/>
  <c r="O8" i="9"/>
  <c r="V8"/>
  <c r="U9" i="20"/>
  <c r="S9"/>
  <c r="U8"/>
  <c r="S8"/>
  <c r="V23" i="3"/>
  <c r="O23" i="4"/>
  <c r="V23"/>
  <c r="O23" i="5"/>
  <c r="V23"/>
  <c r="O23" i="9"/>
  <c r="V23"/>
  <c r="O23" i="11"/>
  <c r="V23"/>
  <c r="V24" i="20"/>
  <c r="T24"/>
  <c r="V23"/>
  <c r="T23"/>
  <c r="V22"/>
  <c r="T22"/>
  <c r="U24" i="1"/>
  <c r="S24"/>
  <c r="U23"/>
  <c r="S23"/>
  <c r="U22"/>
  <c r="S22"/>
  <c r="V24" i="18"/>
  <c r="V22"/>
  <c r="V24" i="3"/>
  <c r="V22"/>
  <c r="O24" i="4"/>
  <c r="V24"/>
  <c r="O22"/>
  <c r="V22"/>
  <c r="O24" i="5"/>
  <c r="V24"/>
  <c r="O22"/>
  <c r="V22"/>
  <c r="O24" i="9"/>
  <c r="V24"/>
  <c r="O22"/>
  <c r="V22"/>
  <c r="O24" i="11"/>
  <c r="V24"/>
  <c r="O22"/>
  <c r="V22"/>
  <c r="H21" i="18"/>
  <c r="V21" i="13"/>
  <c r="V21" i="3"/>
  <c r="T20"/>
  <c r="O20" i="4"/>
  <c r="V20"/>
  <c r="K20"/>
  <c r="O20" i="5"/>
  <c r="V20"/>
  <c r="O20" i="9"/>
  <c r="V20"/>
  <c r="O20" i="11"/>
  <c r="V20"/>
  <c r="O20" i="13"/>
  <c r="H20" i="18"/>
  <c r="U21" i="20"/>
  <c r="S21"/>
  <c r="U20"/>
  <c r="S20"/>
  <c r="V21" i="1"/>
  <c r="T21"/>
  <c r="V20"/>
  <c r="T20"/>
  <c r="O21" i="4"/>
  <c r="V21"/>
  <c r="M20"/>
  <c r="T20"/>
  <c r="O21" i="5"/>
  <c r="V21"/>
  <c r="O21" i="9"/>
  <c r="V21"/>
  <c r="O21" i="11"/>
  <c r="V21"/>
  <c r="V20" i="18"/>
  <c r="V7" i="3"/>
  <c r="O7" i="4"/>
  <c r="V7"/>
  <c r="O7" i="5"/>
  <c r="V7"/>
  <c r="O7" i="9"/>
  <c r="V7"/>
  <c r="O7" i="13"/>
  <c r="T6" i="20"/>
  <c r="V7"/>
  <c r="T7"/>
  <c r="U6" i="1"/>
  <c r="U7"/>
  <c r="S7"/>
  <c r="T17"/>
  <c r="U17"/>
  <c r="O19" i="4"/>
  <c r="O19" i="5"/>
  <c r="O19" i="9"/>
  <c r="O19" i="11"/>
  <c r="O19" i="13"/>
  <c r="U19" i="20"/>
  <c r="V19"/>
  <c r="T19"/>
  <c r="V13" i="3"/>
  <c r="O13" i="4"/>
  <c r="V13"/>
  <c r="O13" i="5"/>
  <c r="V13"/>
  <c r="O13" i="9"/>
  <c r="V13"/>
  <c r="V13" i="14"/>
  <c r="V13" i="20"/>
  <c r="V6" i="4"/>
  <c r="O6" i="5"/>
  <c r="O6" i="9"/>
  <c r="O6" i="11"/>
  <c r="O6" i="13"/>
  <c r="V6" i="14"/>
  <c r="V17" i="1"/>
  <c r="V6" i="20"/>
  <c r="N40" i="17"/>
  <c r="N38" i="18"/>
  <c r="N39"/>
  <c r="M38" i="17"/>
  <c r="N40" i="14"/>
  <c r="M39" i="17"/>
  <c r="M35"/>
  <c r="M34"/>
  <c r="M33"/>
  <c r="T33"/>
  <c r="M32"/>
  <c r="M31"/>
  <c r="M30"/>
  <c r="M29"/>
  <c r="M28"/>
  <c r="M27"/>
  <c r="M26"/>
  <c r="M25"/>
  <c r="M24"/>
  <c r="T24"/>
  <c r="M23"/>
  <c r="M22"/>
  <c r="M21"/>
  <c r="M20"/>
  <c r="M19"/>
  <c r="O19" i="18"/>
  <c r="O35"/>
  <c r="N34"/>
  <c r="O33"/>
  <c r="N32"/>
  <c r="O31"/>
  <c r="V31"/>
  <c r="N30"/>
  <c r="O29"/>
  <c r="N28"/>
  <c r="O27"/>
  <c r="N26"/>
  <c r="O25"/>
  <c r="V25"/>
  <c r="N24"/>
  <c r="O23"/>
  <c r="V23"/>
  <c r="N22"/>
  <c r="O21"/>
  <c r="V21"/>
  <c r="N20"/>
  <c r="N19" i="17"/>
  <c r="O34"/>
  <c r="O32"/>
  <c r="O30"/>
  <c r="O28"/>
  <c r="O26"/>
  <c r="O24"/>
  <c r="O22"/>
  <c r="O20"/>
  <c r="N35" i="18"/>
  <c r="N33"/>
  <c r="N31"/>
  <c r="N29"/>
  <c r="N27"/>
  <c r="N25"/>
  <c r="N23"/>
  <c r="N21"/>
  <c r="N17" i="17"/>
  <c r="N6" i="18"/>
  <c r="M16" i="17"/>
  <c r="M15"/>
  <c r="M14"/>
  <c r="M13"/>
  <c r="M12"/>
  <c r="M11"/>
  <c r="M10"/>
  <c r="M9"/>
  <c r="M8"/>
  <c r="M7"/>
  <c r="N7" i="18"/>
  <c r="M6" i="17"/>
  <c r="M36" i="18"/>
  <c r="M17"/>
  <c r="U40" i="15"/>
  <c r="K42"/>
  <c r="M42"/>
  <c r="S17"/>
  <c r="N42"/>
  <c r="J17"/>
  <c r="L42" i="19"/>
  <c r="K42"/>
  <c r="O42"/>
  <c r="F42"/>
  <c r="H42"/>
  <c r="H36" i="10"/>
  <c r="V29"/>
  <c r="H42" i="9"/>
  <c r="V29"/>
  <c r="U29" i="10"/>
  <c r="G36"/>
  <c r="U36"/>
  <c r="T29"/>
  <c r="F36"/>
  <c r="T36"/>
  <c r="V29" i="12"/>
  <c r="H36"/>
  <c r="W36"/>
  <c r="V29" i="11"/>
  <c r="U29" i="12"/>
  <c r="G36"/>
  <c r="T29"/>
  <c r="F36"/>
  <c r="T36"/>
  <c r="T29" i="11"/>
  <c r="V29" i="8"/>
  <c r="G29" i="7"/>
  <c r="G29" i="17"/>
  <c r="U29"/>
  <c r="T29" i="8"/>
  <c r="D42" i="6"/>
  <c r="T36" i="2"/>
  <c r="U36" i="20"/>
  <c r="G42" i="1"/>
  <c r="T36" i="20"/>
  <c r="Q38" i="5"/>
  <c r="G39" i="18"/>
  <c r="U39" i="13"/>
  <c r="U40" i="3"/>
  <c r="T39"/>
  <c r="J38" i="4"/>
  <c r="M39"/>
  <c r="T39"/>
  <c r="K39"/>
  <c r="K38" i="5"/>
  <c r="N39"/>
  <c r="U39"/>
  <c r="L39"/>
  <c r="S39"/>
  <c r="J39"/>
  <c r="Q39"/>
  <c r="J38" i="9"/>
  <c r="N38"/>
  <c r="L38"/>
  <c r="M39"/>
  <c r="T39"/>
  <c r="K39"/>
  <c r="R39"/>
  <c r="J38" i="11"/>
  <c r="N38"/>
  <c r="L38"/>
  <c r="M39"/>
  <c r="T39"/>
  <c r="K39"/>
  <c r="J38" i="13"/>
  <c r="C38" i="18"/>
  <c r="N38" i="13"/>
  <c r="L38"/>
  <c r="E38" i="18"/>
  <c r="M39" i="13"/>
  <c r="K39"/>
  <c r="D39" i="18"/>
  <c r="U39" i="3"/>
  <c r="K38" i="4"/>
  <c r="N39"/>
  <c r="U39"/>
  <c r="L39"/>
  <c r="J39"/>
  <c r="M38" i="9"/>
  <c r="K38"/>
  <c r="N39"/>
  <c r="U39"/>
  <c r="L39"/>
  <c r="S39"/>
  <c r="J39"/>
  <c r="Q39"/>
  <c r="M38" i="11"/>
  <c r="K38"/>
  <c r="N39"/>
  <c r="U39"/>
  <c r="L39"/>
  <c r="J39"/>
  <c r="M38" i="13"/>
  <c r="F38" i="18"/>
  <c r="G35"/>
  <c r="U35"/>
  <c r="U35" i="13"/>
  <c r="T35" i="3"/>
  <c r="M35" i="4"/>
  <c r="T35"/>
  <c r="K35"/>
  <c r="N35" i="5"/>
  <c r="U35"/>
  <c r="L35"/>
  <c r="S35"/>
  <c r="J35"/>
  <c r="Q35"/>
  <c r="M35" i="9"/>
  <c r="T35"/>
  <c r="K35"/>
  <c r="R35"/>
  <c r="N35" i="11"/>
  <c r="U35"/>
  <c r="L35"/>
  <c r="J35"/>
  <c r="M35" i="13"/>
  <c r="K35"/>
  <c r="D35" i="18"/>
  <c r="U35" i="3"/>
  <c r="S35"/>
  <c r="N35" i="4"/>
  <c r="U35"/>
  <c r="L35"/>
  <c r="S35"/>
  <c r="J35"/>
  <c r="M35" i="5"/>
  <c r="T35"/>
  <c r="K35"/>
  <c r="R35"/>
  <c r="N35" i="9"/>
  <c r="U35"/>
  <c r="L35"/>
  <c r="S35"/>
  <c r="J35"/>
  <c r="Q35"/>
  <c r="G34" i="18"/>
  <c r="U34" i="13"/>
  <c r="U34" i="14"/>
  <c r="U34" i="3"/>
  <c r="S34"/>
  <c r="M34" i="4"/>
  <c r="T34"/>
  <c r="K34"/>
  <c r="N34" i="5"/>
  <c r="U34"/>
  <c r="L34"/>
  <c r="S34"/>
  <c r="J34"/>
  <c r="Q34"/>
  <c r="M34" i="9"/>
  <c r="T34"/>
  <c r="K34"/>
  <c r="R34"/>
  <c r="M34" i="11"/>
  <c r="T34"/>
  <c r="K34"/>
  <c r="M34" i="13"/>
  <c r="K34"/>
  <c r="D34" i="18"/>
  <c r="T34" i="3"/>
  <c r="N34" i="4"/>
  <c r="U34"/>
  <c r="L34"/>
  <c r="S34"/>
  <c r="J34"/>
  <c r="Q34"/>
  <c r="N34" i="9"/>
  <c r="U34"/>
  <c r="L34"/>
  <c r="S34"/>
  <c r="J34"/>
  <c r="Q34"/>
  <c r="N34" i="11"/>
  <c r="U34"/>
  <c r="L34"/>
  <c r="J34"/>
  <c r="G33" i="18"/>
  <c r="U33"/>
  <c r="U33" i="14"/>
  <c r="U33" i="13"/>
  <c r="T33" i="3"/>
  <c r="M33" i="4"/>
  <c r="T33"/>
  <c r="K33"/>
  <c r="N33" i="5"/>
  <c r="U33"/>
  <c r="L33"/>
  <c r="S33"/>
  <c r="J33"/>
  <c r="Q33"/>
  <c r="M33" i="9"/>
  <c r="T33"/>
  <c r="K33"/>
  <c r="R33"/>
  <c r="N33" i="11"/>
  <c r="U33"/>
  <c r="L33"/>
  <c r="J33"/>
  <c r="M33" i="13"/>
  <c r="K33"/>
  <c r="D33" i="18"/>
  <c r="U33" i="3"/>
  <c r="S33"/>
  <c r="N33" i="4"/>
  <c r="U33"/>
  <c r="L33"/>
  <c r="S33"/>
  <c r="J33"/>
  <c r="M33" i="5"/>
  <c r="T33"/>
  <c r="K33"/>
  <c r="R33"/>
  <c r="N33" i="9"/>
  <c r="U33"/>
  <c r="L33"/>
  <c r="S33"/>
  <c r="J33"/>
  <c r="Q33"/>
  <c r="G32" i="18"/>
  <c r="U32" i="13"/>
  <c r="G31" i="18"/>
  <c r="U31" i="13"/>
  <c r="G30" i="18"/>
  <c r="U30" i="13"/>
  <c r="U32" i="3"/>
  <c r="S32"/>
  <c r="U31"/>
  <c r="S31"/>
  <c r="U30"/>
  <c r="S30"/>
  <c r="M32" i="4"/>
  <c r="T32"/>
  <c r="K32"/>
  <c r="M31"/>
  <c r="T31"/>
  <c r="K31"/>
  <c r="M30"/>
  <c r="T30"/>
  <c r="K30"/>
  <c r="N32" i="5"/>
  <c r="U32"/>
  <c r="L32"/>
  <c r="S32"/>
  <c r="J32"/>
  <c r="Q32"/>
  <c r="N31"/>
  <c r="U31"/>
  <c r="L31"/>
  <c r="S31"/>
  <c r="J31"/>
  <c r="Q31"/>
  <c r="N30"/>
  <c r="U30"/>
  <c r="L30"/>
  <c r="S30"/>
  <c r="J30"/>
  <c r="Q30"/>
  <c r="M32" i="9"/>
  <c r="T32"/>
  <c r="K32"/>
  <c r="R32"/>
  <c r="M31"/>
  <c r="T31"/>
  <c r="K31"/>
  <c r="R31"/>
  <c r="M30"/>
  <c r="T30"/>
  <c r="K30"/>
  <c r="R30"/>
  <c r="M32" i="11"/>
  <c r="T32"/>
  <c r="K32"/>
  <c r="M31"/>
  <c r="T31"/>
  <c r="K31"/>
  <c r="M30"/>
  <c r="T30"/>
  <c r="K30"/>
  <c r="M32" i="13"/>
  <c r="T32" i="14"/>
  <c r="K32" i="13"/>
  <c r="D32" i="18"/>
  <c r="M31" i="13"/>
  <c r="T31" i="14"/>
  <c r="K31" i="13"/>
  <c r="D31" i="18"/>
  <c r="M30" i="13"/>
  <c r="T30" i="14"/>
  <c r="K30" i="13"/>
  <c r="D30" i="18"/>
  <c r="T32" i="3"/>
  <c r="T31"/>
  <c r="T30"/>
  <c r="N32" i="4"/>
  <c r="U32"/>
  <c r="L32"/>
  <c r="S32"/>
  <c r="J32"/>
  <c r="N31"/>
  <c r="U31"/>
  <c r="L31"/>
  <c r="S31"/>
  <c r="J31"/>
  <c r="N30"/>
  <c r="U30"/>
  <c r="L30"/>
  <c r="S30"/>
  <c r="J30"/>
  <c r="N32" i="9"/>
  <c r="U32"/>
  <c r="L32"/>
  <c r="S32"/>
  <c r="J32"/>
  <c r="Q32"/>
  <c r="N31"/>
  <c r="U31"/>
  <c r="L31"/>
  <c r="S31"/>
  <c r="J31"/>
  <c r="Q31"/>
  <c r="N30"/>
  <c r="U30"/>
  <c r="L30"/>
  <c r="S30"/>
  <c r="J30"/>
  <c r="Q30"/>
  <c r="N32" i="11"/>
  <c r="U32"/>
  <c r="L32"/>
  <c r="J32"/>
  <c r="N31"/>
  <c r="U31"/>
  <c r="L31"/>
  <c r="J31"/>
  <c r="N30"/>
  <c r="U30"/>
  <c r="L30"/>
  <c r="J30"/>
  <c r="U29" i="13"/>
  <c r="G29" i="18"/>
  <c r="U29"/>
  <c r="U29" i="14"/>
  <c r="T29" i="3"/>
  <c r="M29" i="4"/>
  <c r="T29"/>
  <c r="K29"/>
  <c r="N29" i="5"/>
  <c r="U29"/>
  <c r="L29"/>
  <c r="S29"/>
  <c r="J29"/>
  <c r="Q29"/>
  <c r="M29" i="9"/>
  <c r="T29"/>
  <c r="K29"/>
  <c r="R29"/>
  <c r="N29" i="11"/>
  <c r="U29"/>
  <c r="L29"/>
  <c r="J29"/>
  <c r="M29" i="13"/>
  <c r="T29"/>
  <c r="K29"/>
  <c r="D29" i="18"/>
  <c r="U29" i="3"/>
  <c r="S29"/>
  <c r="N29" i="4"/>
  <c r="U29"/>
  <c r="L29"/>
  <c r="S29"/>
  <c r="J29"/>
  <c r="M29" i="5"/>
  <c r="T29"/>
  <c r="K29"/>
  <c r="R29"/>
  <c r="N29" i="9"/>
  <c r="U29"/>
  <c r="L29"/>
  <c r="S29"/>
  <c r="J29"/>
  <c r="Q29"/>
  <c r="G28" i="18"/>
  <c r="U28"/>
  <c r="U28" i="13"/>
  <c r="U28" i="3"/>
  <c r="S28"/>
  <c r="M28" i="4"/>
  <c r="T28"/>
  <c r="K28"/>
  <c r="N28" i="5"/>
  <c r="U28"/>
  <c r="L28"/>
  <c r="S28"/>
  <c r="J28"/>
  <c r="Q28"/>
  <c r="M28" i="9"/>
  <c r="T28"/>
  <c r="K28"/>
  <c r="R28"/>
  <c r="M28" i="11"/>
  <c r="T28"/>
  <c r="K28"/>
  <c r="M28" i="13"/>
  <c r="K28"/>
  <c r="D28" i="18"/>
  <c r="T28" i="3"/>
  <c r="N28" i="4"/>
  <c r="U28"/>
  <c r="L28"/>
  <c r="S28"/>
  <c r="J28"/>
  <c r="Q28"/>
  <c r="N28" i="9"/>
  <c r="U28"/>
  <c r="L28"/>
  <c r="S28"/>
  <c r="J28"/>
  <c r="Q28"/>
  <c r="N28" i="11"/>
  <c r="U28"/>
  <c r="L28"/>
  <c r="J28"/>
  <c r="G27" i="18"/>
  <c r="U27" i="13"/>
  <c r="G26" i="18"/>
  <c r="U26" i="13"/>
  <c r="U27" i="3"/>
  <c r="S27"/>
  <c r="U26"/>
  <c r="S26"/>
  <c r="M27" i="4"/>
  <c r="T27"/>
  <c r="K27"/>
  <c r="M26"/>
  <c r="T26"/>
  <c r="K26"/>
  <c r="N27" i="5"/>
  <c r="U27"/>
  <c r="L27"/>
  <c r="S27"/>
  <c r="J27"/>
  <c r="Q27"/>
  <c r="N26"/>
  <c r="U26"/>
  <c r="L26"/>
  <c r="S26"/>
  <c r="J26"/>
  <c r="Q26"/>
  <c r="M27" i="9"/>
  <c r="T27"/>
  <c r="K27"/>
  <c r="R27"/>
  <c r="M26"/>
  <c r="T26"/>
  <c r="K26"/>
  <c r="R26"/>
  <c r="M27" i="11"/>
  <c r="T27"/>
  <c r="K27"/>
  <c r="M26"/>
  <c r="T26"/>
  <c r="K26"/>
  <c r="M27" i="13"/>
  <c r="K27"/>
  <c r="D27" i="18"/>
  <c r="M26" i="13"/>
  <c r="F26" i="18"/>
  <c r="T26"/>
  <c r="K26" i="13"/>
  <c r="D26" i="18"/>
  <c r="T27" i="3"/>
  <c r="T26"/>
  <c r="N27" i="4"/>
  <c r="U27"/>
  <c r="L27"/>
  <c r="S27"/>
  <c r="J27"/>
  <c r="N26"/>
  <c r="U26"/>
  <c r="L26"/>
  <c r="S26"/>
  <c r="J26"/>
  <c r="Q26"/>
  <c r="N27" i="9"/>
  <c r="U27"/>
  <c r="L27"/>
  <c r="S27"/>
  <c r="J27"/>
  <c r="Q27"/>
  <c r="N26"/>
  <c r="U26"/>
  <c r="L26"/>
  <c r="S26"/>
  <c r="J26"/>
  <c r="Q26"/>
  <c r="N27" i="11"/>
  <c r="U27"/>
  <c r="L27"/>
  <c r="J27"/>
  <c r="N26"/>
  <c r="U26"/>
  <c r="L26"/>
  <c r="J26"/>
  <c r="U25" i="13"/>
  <c r="G25" i="18"/>
  <c r="U25"/>
  <c r="T25" i="3"/>
  <c r="M25" i="4"/>
  <c r="T25"/>
  <c r="K25"/>
  <c r="N25" i="5"/>
  <c r="U25"/>
  <c r="L25"/>
  <c r="S25"/>
  <c r="J25"/>
  <c r="Q25"/>
  <c r="M25" i="9"/>
  <c r="T25"/>
  <c r="K25"/>
  <c r="R25"/>
  <c r="N25" i="11"/>
  <c r="U25"/>
  <c r="L25"/>
  <c r="J25"/>
  <c r="M25" i="13"/>
  <c r="F25" i="18"/>
  <c r="T25"/>
  <c r="K25" i="13"/>
  <c r="D25" i="18"/>
  <c r="N25" i="4"/>
  <c r="U25"/>
  <c r="L25"/>
  <c r="S25"/>
  <c r="J25"/>
  <c r="M25" i="5"/>
  <c r="T25"/>
  <c r="K25"/>
  <c r="R25"/>
  <c r="N25" i="9"/>
  <c r="U25"/>
  <c r="L25"/>
  <c r="S25"/>
  <c r="J25"/>
  <c r="Q25"/>
  <c r="G24" i="18"/>
  <c r="U24"/>
  <c r="U24" i="14"/>
  <c r="U24" i="13"/>
  <c r="G23" i="18"/>
  <c r="U23" i="14"/>
  <c r="U23" i="13"/>
  <c r="G22" i="18"/>
  <c r="U22"/>
  <c r="U22" i="14"/>
  <c r="U22" i="13"/>
  <c r="U24" i="3"/>
  <c r="S24"/>
  <c r="U23"/>
  <c r="S23"/>
  <c r="U22"/>
  <c r="S22"/>
  <c r="M24" i="4"/>
  <c r="T24"/>
  <c r="K24"/>
  <c r="M23"/>
  <c r="T23"/>
  <c r="K23"/>
  <c r="M22"/>
  <c r="T22"/>
  <c r="K22"/>
  <c r="N24" i="5"/>
  <c r="U24"/>
  <c r="L24"/>
  <c r="S24"/>
  <c r="J24"/>
  <c r="Q24"/>
  <c r="N23"/>
  <c r="U23"/>
  <c r="L23"/>
  <c r="S23"/>
  <c r="J23"/>
  <c r="Q23"/>
  <c r="N22"/>
  <c r="U22"/>
  <c r="L22"/>
  <c r="S22"/>
  <c r="J22"/>
  <c r="Q22"/>
  <c r="M24" i="9"/>
  <c r="T24"/>
  <c r="K24"/>
  <c r="R24"/>
  <c r="M23"/>
  <c r="T23"/>
  <c r="K23"/>
  <c r="R23"/>
  <c r="M22"/>
  <c r="T22"/>
  <c r="K22"/>
  <c r="R22"/>
  <c r="M24" i="11"/>
  <c r="T24"/>
  <c r="K24"/>
  <c r="M23"/>
  <c r="T23"/>
  <c r="K23"/>
  <c r="M22"/>
  <c r="T22"/>
  <c r="K22"/>
  <c r="M24" i="13"/>
  <c r="F24" i="18"/>
  <c r="T24"/>
  <c r="K24" i="13"/>
  <c r="D24" i="18"/>
  <c r="M23" i="13"/>
  <c r="F23" i="18"/>
  <c r="T23"/>
  <c r="K23" i="13"/>
  <c r="D23" i="18"/>
  <c r="M22" i="13"/>
  <c r="F22" i="18"/>
  <c r="T22"/>
  <c r="K22" i="13"/>
  <c r="D22" i="18"/>
  <c r="T24" i="3"/>
  <c r="T23"/>
  <c r="T22"/>
  <c r="N24" i="4"/>
  <c r="U24"/>
  <c r="L24"/>
  <c r="S24"/>
  <c r="J24"/>
  <c r="N23"/>
  <c r="U23"/>
  <c r="L23"/>
  <c r="S23"/>
  <c r="J23"/>
  <c r="N22"/>
  <c r="U22"/>
  <c r="L22"/>
  <c r="S22"/>
  <c r="J22"/>
  <c r="N24" i="9"/>
  <c r="U24"/>
  <c r="L24"/>
  <c r="S24"/>
  <c r="J24"/>
  <c r="Q24"/>
  <c r="N23"/>
  <c r="U23"/>
  <c r="L23"/>
  <c r="S23"/>
  <c r="J23"/>
  <c r="Q23"/>
  <c r="N22"/>
  <c r="U22"/>
  <c r="L22"/>
  <c r="S22"/>
  <c r="J22"/>
  <c r="Q22"/>
  <c r="N24" i="11"/>
  <c r="U24"/>
  <c r="L24"/>
  <c r="J24"/>
  <c r="N23"/>
  <c r="U23"/>
  <c r="L23"/>
  <c r="J23"/>
  <c r="N22"/>
  <c r="U22"/>
  <c r="L22"/>
  <c r="J22"/>
  <c r="G21" i="18"/>
  <c r="U21"/>
  <c r="U21" i="13"/>
  <c r="T21" i="3"/>
  <c r="M21" i="4"/>
  <c r="T21"/>
  <c r="K21"/>
  <c r="N21" i="5"/>
  <c r="U21"/>
  <c r="L21"/>
  <c r="S21"/>
  <c r="J21"/>
  <c r="Q21"/>
  <c r="M21" i="9"/>
  <c r="T21"/>
  <c r="K21"/>
  <c r="R21"/>
  <c r="N21" i="11"/>
  <c r="U21"/>
  <c r="L21"/>
  <c r="J21"/>
  <c r="M21" i="13"/>
  <c r="F21" i="18"/>
  <c r="T21"/>
  <c r="K21" i="13"/>
  <c r="D21" i="18"/>
  <c r="U21" i="3"/>
  <c r="S21"/>
  <c r="N21" i="4"/>
  <c r="U21"/>
  <c r="L21"/>
  <c r="S21"/>
  <c r="J21"/>
  <c r="M21" i="5"/>
  <c r="T21"/>
  <c r="K21"/>
  <c r="R21"/>
  <c r="N21" i="9"/>
  <c r="U21"/>
  <c r="L21"/>
  <c r="S21"/>
  <c r="J21"/>
  <c r="Q21"/>
  <c r="G20" i="18"/>
  <c r="U20" i="13"/>
  <c r="N20" i="5"/>
  <c r="U20"/>
  <c r="L20"/>
  <c r="S20"/>
  <c r="J20"/>
  <c r="Q20"/>
  <c r="M20" i="9"/>
  <c r="T20"/>
  <c r="K20"/>
  <c r="R20"/>
  <c r="M20" i="11"/>
  <c r="T20"/>
  <c r="K20"/>
  <c r="M20" i="13"/>
  <c r="F20" i="18"/>
  <c r="T20"/>
  <c r="K20" i="13"/>
  <c r="D20" i="18"/>
  <c r="U20" i="3"/>
  <c r="S20"/>
  <c r="N20" i="4"/>
  <c r="U20"/>
  <c r="L20"/>
  <c r="S20"/>
  <c r="J20"/>
  <c r="Q20"/>
  <c r="N20" i="9"/>
  <c r="U20"/>
  <c r="L20"/>
  <c r="S20"/>
  <c r="J20"/>
  <c r="Q20"/>
  <c r="N20" i="11"/>
  <c r="U20"/>
  <c r="L20"/>
  <c r="J20"/>
  <c r="T19"/>
  <c r="U19" i="13"/>
  <c r="G19" i="18"/>
  <c r="N36" i="13"/>
  <c r="W36"/>
  <c r="U19" i="3"/>
  <c r="M19" i="4"/>
  <c r="K19"/>
  <c r="R19"/>
  <c r="M19" i="5"/>
  <c r="K19"/>
  <c r="M19" i="9"/>
  <c r="K19"/>
  <c r="J19" i="11"/>
  <c r="N19"/>
  <c r="U19"/>
  <c r="L19"/>
  <c r="M19" i="13"/>
  <c r="F19" i="18"/>
  <c r="T19"/>
  <c r="K19" i="13"/>
  <c r="T19" i="3"/>
  <c r="J19" i="4"/>
  <c r="N19"/>
  <c r="L19"/>
  <c r="J19" i="5"/>
  <c r="N19"/>
  <c r="L19"/>
  <c r="J19" i="9"/>
  <c r="N19"/>
  <c r="L19"/>
  <c r="T16" i="13"/>
  <c r="R16"/>
  <c r="U16" i="3"/>
  <c r="S16"/>
  <c r="M16" i="4"/>
  <c r="T16"/>
  <c r="K16"/>
  <c r="R16"/>
  <c r="N16" i="5"/>
  <c r="U16"/>
  <c r="L16"/>
  <c r="S16"/>
  <c r="J16"/>
  <c r="Q16"/>
  <c r="N16" i="9"/>
  <c r="U16"/>
  <c r="L16"/>
  <c r="S16"/>
  <c r="J16"/>
  <c r="Q16"/>
  <c r="N16" i="11"/>
  <c r="U16"/>
  <c r="L16"/>
  <c r="S16"/>
  <c r="J16"/>
  <c r="Q16"/>
  <c r="T16" i="3"/>
  <c r="M16" i="5"/>
  <c r="T16"/>
  <c r="K16"/>
  <c r="R16"/>
  <c r="M16" i="9"/>
  <c r="T16"/>
  <c r="K16"/>
  <c r="R16"/>
  <c r="M16" i="11"/>
  <c r="T16"/>
  <c r="K16"/>
  <c r="R16"/>
  <c r="T15" i="14"/>
  <c r="T15" i="13"/>
  <c r="R15"/>
  <c r="U15" i="3"/>
  <c r="S15"/>
  <c r="M15" i="4"/>
  <c r="T15"/>
  <c r="K15"/>
  <c r="R15"/>
  <c r="N15" i="5"/>
  <c r="U15"/>
  <c r="L15"/>
  <c r="S15"/>
  <c r="J15"/>
  <c r="Q15"/>
  <c r="N15" i="9"/>
  <c r="U15"/>
  <c r="L15"/>
  <c r="S15"/>
  <c r="J15"/>
  <c r="Q15"/>
  <c r="M15" i="11"/>
  <c r="T15"/>
  <c r="K15"/>
  <c r="R15"/>
  <c r="Q15" i="14"/>
  <c r="N15" i="4"/>
  <c r="U15"/>
  <c r="L15"/>
  <c r="S15"/>
  <c r="J15"/>
  <c r="Q15"/>
  <c r="M15" i="5"/>
  <c r="T15"/>
  <c r="K15"/>
  <c r="R15"/>
  <c r="M15" i="9"/>
  <c r="T15"/>
  <c r="K15"/>
  <c r="R15"/>
  <c r="T14" i="13"/>
  <c r="R14"/>
  <c r="U14"/>
  <c r="S14" i="14"/>
  <c r="Q14" i="13"/>
  <c r="N14" i="5"/>
  <c r="U14"/>
  <c r="L14"/>
  <c r="S14"/>
  <c r="J14"/>
  <c r="Q14"/>
  <c r="N14" i="9"/>
  <c r="U14"/>
  <c r="L14"/>
  <c r="S14"/>
  <c r="J14"/>
  <c r="Q14"/>
  <c r="N14" i="11"/>
  <c r="U14"/>
  <c r="L14"/>
  <c r="S14"/>
  <c r="J14"/>
  <c r="Q14"/>
  <c r="T14" i="3"/>
  <c r="M14" i="4"/>
  <c r="T14"/>
  <c r="K14"/>
  <c r="R14"/>
  <c r="M14" i="5"/>
  <c r="T14"/>
  <c r="K14"/>
  <c r="R14"/>
  <c r="M14" i="9"/>
  <c r="T14"/>
  <c r="K14"/>
  <c r="R14"/>
  <c r="M14" i="11"/>
  <c r="T14"/>
  <c r="K14"/>
  <c r="R14"/>
  <c r="T13" i="13"/>
  <c r="R13"/>
  <c r="T12"/>
  <c r="T11" i="14"/>
  <c r="T11" i="13"/>
  <c r="T10"/>
  <c r="U13"/>
  <c r="Q13"/>
  <c r="U12"/>
  <c r="U11"/>
  <c r="U11" i="14"/>
  <c r="U10" i="13"/>
  <c r="U13" i="3"/>
  <c r="S13"/>
  <c r="U12"/>
  <c r="S10"/>
  <c r="N13" i="4"/>
  <c r="U13"/>
  <c r="L13"/>
  <c r="S13"/>
  <c r="J13"/>
  <c r="Q13"/>
  <c r="N12"/>
  <c r="U12"/>
  <c r="L12"/>
  <c r="S12"/>
  <c r="J12"/>
  <c r="Q12"/>
  <c r="N11"/>
  <c r="U11"/>
  <c r="L11"/>
  <c r="S11"/>
  <c r="J11"/>
  <c r="Q11"/>
  <c r="N10"/>
  <c r="U10"/>
  <c r="L10"/>
  <c r="S10"/>
  <c r="J10"/>
  <c r="N13" i="5"/>
  <c r="U13"/>
  <c r="L13"/>
  <c r="S13"/>
  <c r="J13"/>
  <c r="Q13"/>
  <c r="N12"/>
  <c r="U12"/>
  <c r="L12"/>
  <c r="S12"/>
  <c r="J12"/>
  <c r="N11"/>
  <c r="U11"/>
  <c r="L11"/>
  <c r="S11"/>
  <c r="J11"/>
  <c r="Q11"/>
  <c r="N10"/>
  <c r="U10"/>
  <c r="L10"/>
  <c r="S10"/>
  <c r="J10"/>
  <c r="Q10"/>
  <c r="N13" i="9"/>
  <c r="U13"/>
  <c r="L13"/>
  <c r="S13"/>
  <c r="J13"/>
  <c r="Q13"/>
  <c r="N12"/>
  <c r="U12"/>
  <c r="L12"/>
  <c r="S12"/>
  <c r="J12"/>
  <c r="Q12"/>
  <c r="N11"/>
  <c r="U11"/>
  <c r="L11"/>
  <c r="S11"/>
  <c r="J11"/>
  <c r="Q11"/>
  <c r="N10"/>
  <c r="U10"/>
  <c r="L10"/>
  <c r="S10"/>
  <c r="J10"/>
  <c r="Q10"/>
  <c r="N13" i="11"/>
  <c r="U13"/>
  <c r="L13"/>
  <c r="J13"/>
  <c r="Q13"/>
  <c r="N12"/>
  <c r="U12"/>
  <c r="L12"/>
  <c r="S12"/>
  <c r="J12"/>
  <c r="N11"/>
  <c r="U11"/>
  <c r="L11"/>
  <c r="J11"/>
  <c r="N10"/>
  <c r="U10"/>
  <c r="L10"/>
  <c r="S10"/>
  <c r="J10"/>
  <c r="T13" i="3"/>
  <c r="T12"/>
  <c r="T11"/>
  <c r="T10"/>
  <c r="M13" i="4"/>
  <c r="T13"/>
  <c r="K13"/>
  <c r="R13"/>
  <c r="M12"/>
  <c r="T12"/>
  <c r="K12"/>
  <c r="R12"/>
  <c r="M11"/>
  <c r="T11"/>
  <c r="K11"/>
  <c r="R11"/>
  <c r="M10"/>
  <c r="T10"/>
  <c r="K10"/>
  <c r="M13" i="5"/>
  <c r="T13"/>
  <c r="K13"/>
  <c r="R13"/>
  <c r="M12"/>
  <c r="T12"/>
  <c r="K12"/>
  <c r="M11"/>
  <c r="T11"/>
  <c r="K11"/>
  <c r="M10"/>
  <c r="T10"/>
  <c r="K10"/>
  <c r="M13" i="9"/>
  <c r="T13"/>
  <c r="K13"/>
  <c r="R13"/>
  <c r="M12"/>
  <c r="T12"/>
  <c r="K12"/>
  <c r="R12"/>
  <c r="M11"/>
  <c r="T11"/>
  <c r="K11"/>
  <c r="R11"/>
  <c r="M10"/>
  <c r="T10"/>
  <c r="K10"/>
  <c r="R10"/>
  <c r="M13" i="11"/>
  <c r="T13"/>
  <c r="K13"/>
  <c r="R13"/>
  <c r="M12"/>
  <c r="T12"/>
  <c r="K12"/>
  <c r="M11"/>
  <c r="T11"/>
  <c r="K11"/>
  <c r="M10"/>
  <c r="T10"/>
  <c r="K10"/>
  <c r="T9" i="14"/>
  <c r="T9" i="13"/>
  <c r="R9"/>
  <c r="T8"/>
  <c r="R8"/>
  <c r="U9" i="14"/>
  <c r="U9" i="13"/>
  <c r="U8"/>
  <c r="S8"/>
  <c r="Q8"/>
  <c r="U9" i="3"/>
  <c r="S9"/>
  <c r="U8"/>
  <c r="S8"/>
  <c r="N9" i="4"/>
  <c r="U9"/>
  <c r="L9"/>
  <c r="S9"/>
  <c r="J9"/>
  <c r="Q9"/>
  <c r="N8"/>
  <c r="U8"/>
  <c r="L8"/>
  <c r="S8"/>
  <c r="J8"/>
  <c r="Q8"/>
  <c r="N9" i="5"/>
  <c r="U9"/>
  <c r="L9"/>
  <c r="S9"/>
  <c r="J9"/>
  <c r="Q9"/>
  <c r="N8"/>
  <c r="U8"/>
  <c r="L8"/>
  <c r="S8"/>
  <c r="J8"/>
  <c r="Q8"/>
  <c r="N9" i="9"/>
  <c r="U9"/>
  <c r="L9"/>
  <c r="S9"/>
  <c r="J9"/>
  <c r="Q9"/>
  <c r="N8"/>
  <c r="U8"/>
  <c r="L8"/>
  <c r="S8"/>
  <c r="J8"/>
  <c r="Q8"/>
  <c r="N9" i="11"/>
  <c r="U9"/>
  <c r="L9"/>
  <c r="J9"/>
  <c r="N8"/>
  <c r="U8"/>
  <c r="L8"/>
  <c r="J8"/>
  <c r="Q8"/>
  <c r="T9" i="3"/>
  <c r="T8"/>
  <c r="M9" i="4"/>
  <c r="T9"/>
  <c r="K9"/>
  <c r="R9"/>
  <c r="M8"/>
  <c r="T8"/>
  <c r="K8"/>
  <c r="R8"/>
  <c r="M9" i="5"/>
  <c r="T9"/>
  <c r="K9"/>
  <c r="R9"/>
  <c r="M8"/>
  <c r="T8"/>
  <c r="K8"/>
  <c r="R8"/>
  <c r="M9" i="9"/>
  <c r="T9"/>
  <c r="K9"/>
  <c r="R9"/>
  <c r="M8"/>
  <c r="T8"/>
  <c r="K8"/>
  <c r="R8"/>
  <c r="M9" i="11"/>
  <c r="T9"/>
  <c r="K9"/>
  <c r="R9"/>
  <c r="M8"/>
  <c r="T8"/>
  <c r="K8"/>
  <c r="R8"/>
  <c r="T7" i="13"/>
  <c r="F7" i="18"/>
  <c r="T7"/>
  <c r="R7" i="13"/>
  <c r="D7" i="18"/>
  <c r="R7"/>
  <c r="T7" i="3"/>
  <c r="N7" i="4"/>
  <c r="U7"/>
  <c r="L7"/>
  <c r="S7"/>
  <c r="J7"/>
  <c r="N7" i="5"/>
  <c r="U7"/>
  <c r="L7"/>
  <c r="S7"/>
  <c r="J7"/>
  <c r="Q7"/>
  <c r="N7" i="9"/>
  <c r="U7"/>
  <c r="L7"/>
  <c r="S7"/>
  <c r="J7"/>
  <c r="Q7"/>
  <c r="M7" i="11"/>
  <c r="T7"/>
  <c r="K7"/>
  <c r="R7"/>
  <c r="N7" i="13"/>
  <c r="U7" i="14"/>
  <c r="L7" i="13"/>
  <c r="E7" i="18"/>
  <c r="J7" i="13"/>
  <c r="C7" i="18"/>
  <c r="U7" i="3"/>
  <c r="S7"/>
  <c r="M7" i="4"/>
  <c r="T7"/>
  <c r="K7"/>
  <c r="R7"/>
  <c r="M7" i="5"/>
  <c r="T7"/>
  <c r="K7"/>
  <c r="R7"/>
  <c r="M7" i="9"/>
  <c r="T7"/>
  <c r="K7"/>
  <c r="R7"/>
  <c r="F6" i="18"/>
  <c r="T6" i="13"/>
  <c r="D6" i="18"/>
  <c r="R6"/>
  <c r="R6" i="13"/>
  <c r="Q6" i="5"/>
  <c r="U6"/>
  <c r="S6"/>
  <c r="U6" i="3"/>
  <c r="J6" i="4"/>
  <c r="Q6"/>
  <c r="N6"/>
  <c r="L6"/>
  <c r="S6"/>
  <c r="M6" i="5"/>
  <c r="K6"/>
  <c r="J6" i="9"/>
  <c r="N6"/>
  <c r="L6"/>
  <c r="J6" i="11"/>
  <c r="Q6"/>
  <c r="N6"/>
  <c r="U6"/>
  <c r="L6"/>
  <c r="S6"/>
  <c r="J6" i="13"/>
  <c r="Q6" i="14"/>
  <c r="N6" i="13"/>
  <c r="U6" i="14"/>
  <c r="L6" i="13"/>
  <c r="T6" i="3"/>
  <c r="M6" i="4"/>
  <c r="K6"/>
  <c r="R6"/>
  <c r="M6" i="9"/>
  <c r="K6"/>
  <c r="M6" i="11"/>
  <c r="T6"/>
  <c r="K6"/>
  <c r="R6"/>
  <c r="G42" i="19"/>
  <c r="U36" i="13"/>
  <c r="V26"/>
  <c r="T26"/>
  <c r="V24"/>
  <c r="V22"/>
  <c r="T20"/>
  <c r="V34"/>
  <c r="T34"/>
  <c r="V33" i="14"/>
  <c r="T33"/>
  <c r="V24"/>
  <c r="T24"/>
  <c r="V22"/>
  <c r="T22"/>
  <c r="V25" i="13"/>
  <c r="T25"/>
  <c r="V23"/>
  <c r="T23"/>
  <c r="T21"/>
  <c r="V29"/>
  <c r="V23" i="14"/>
  <c r="T19" i="13"/>
  <c r="V38" i="5"/>
  <c r="O40"/>
  <c r="V40"/>
  <c r="V38" i="3"/>
  <c r="O38" i="4"/>
  <c r="U38"/>
  <c r="N40"/>
  <c r="U40"/>
  <c r="U38" i="3"/>
  <c r="N38" i="5"/>
  <c r="T38"/>
  <c r="M40"/>
  <c r="T40"/>
  <c r="T38" i="3"/>
  <c r="M38" i="4"/>
  <c r="S38" i="5"/>
  <c r="L40"/>
  <c r="S40"/>
  <c r="L38" i="4"/>
  <c r="S15" i="11"/>
  <c r="S13"/>
  <c r="S8"/>
  <c r="S15" i="13"/>
  <c r="S14"/>
  <c r="S13"/>
  <c r="S16"/>
  <c r="S15" i="14"/>
  <c r="S13"/>
  <c r="V40" i="3"/>
  <c r="U17"/>
  <c r="V17"/>
  <c r="N42" i="20"/>
  <c r="U42" i="1"/>
  <c r="O42" i="20"/>
  <c r="M42"/>
  <c r="D42" i="1"/>
  <c r="K34"/>
  <c r="H42"/>
  <c r="E42"/>
  <c r="L16"/>
  <c r="F42"/>
  <c r="M11"/>
  <c r="L17" i="3"/>
  <c r="J17"/>
  <c r="Q10"/>
  <c r="K17"/>
  <c r="R17"/>
  <c r="R10"/>
  <c r="M17"/>
  <c r="Q7" i="4"/>
  <c r="Q25" i="3"/>
  <c r="Q24" i="4"/>
  <c r="Q23" i="3"/>
  <c r="Q22" i="4"/>
  <c r="Q21" i="3"/>
  <c r="Q35"/>
  <c r="Q33"/>
  <c r="Q32" i="4"/>
  <c r="Q31" i="3"/>
  <c r="Q30" i="4"/>
  <c r="Q29" i="3"/>
  <c r="Q27"/>
  <c r="Q39"/>
  <c r="S39"/>
  <c r="M40"/>
  <c r="K40"/>
  <c r="R40"/>
  <c r="J36"/>
  <c r="Q19"/>
  <c r="L36"/>
  <c r="S19"/>
  <c r="R26"/>
  <c r="R25" i="4"/>
  <c r="R24" i="3"/>
  <c r="R23" i="4"/>
  <c r="R22" i="3"/>
  <c r="R21" i="4"/>
  <c r="R20" i="3"/>
  <c r="R35" i="4"/>
  <c r="R34" i="3"/>
  <c r="R33" i="4"/>
  <c r="R32" i="3"/>
  <c r="R31" i="4"/>
  <c r="R30" i="3"/>
  <c r="R29" i="4"/>
  <c r="R28" i="3"/>
  <c r="R27" i="4"/>
  <c r="Q38" i="3"/>
  <c r="R39" i="4"/>
  <c r="S38" i="3"/>
  <c r="S17"/>
  <c r="R36"/>
  <c r="Q36" i="20"/>
  <c r="S36"/>
  <c r="T36" i="3"/>
  <c r="T40"/>
  <c r="G42" i="15"/>
  <c r="U42"/>
  <c r="U17"/>
  <c r="T40"/>
  <c r="V39" i="14"/>
  <c r="U39"/>
  <c r="T39"/>
  <c r="U38"/>
  <c r="T38"/>
  <c r="V35"/>
  <c r="U35"/>
  <c r="T35"/>
  <c r="U16"/>
  <c r="T16"/>
  <c r="V14"/>
  <c r="U14"/>
  <c r="T14"/>
  <c r="U32"/>
  <c r="V31"/>
  <c r="U31"/>
  <c r="V30"/>
  <c r="U30"/>
  <c r="D42" i="13"/>
  <c r="U13" i="14"/>
  <c r="T13"/>
  <c r="V12"/>
  <c r="G17"/>
  <c r="N17"/>
  <c r="U12"/>
  <c r="T12"/>
  <c r="V10"/>
  <c r="U10"/>
  <c r="T10"/>
  <c r="V28"/>
  <c r="U28"/>
  <c r="T28"/>
  <c r="U27"/>
  <c r="T27"/>
  <c r="V26"/>
  <c r="U26"/>
  <c r="T26"/>
  <c r="V25"/>
  <c r="U25"/>
  <c r="C42" i="13"/>
  <c r="V8" i="14"/>
  <c r="U8"/>
  <c r="T8"/>
  <c r="S8"/>
  <c r="V21"/>
  <c r="U21"/>
  <c r="T21"/>
  <c r="V20"/>
  <c r="G36"/>
  <c r="U36"/>
  <c r="U20"/>
  <c r="V7"/>
  <c r="T7"/>
  <c r="G42" i="13"/>
  <c r="T6" i="14"/>
  <c r="V19"/>
  <c r="U19"/>
  <c r="N19"/>
  <c r="H17"/>
  <c r="H42"/>
  <c r="K28"/>
  <c r="K20"/>
  <c r="J30"/>
  <c r="K24"/>
  <c r="K32"/>
  <c r="J39"/>
  <c r="E36"/>
  <c r="L36"/>
  <c r="C36"/>
  <c r="E17"/>
  <c r="L17"/>
  <c r="C17"/>
  <c r="J17"/>
  <c r="L19"/>
  <c r="K26"/>
  <c r="J23"/>
  <c r="K22"/>
  <c r="J35"/>
  <c r="K34"/>
  <c r="J31"/>
  <c r="Q16"/>
  <c r="R15"/>
  <c r="Q14"/>
  <c r="R13"/>
  <c r="R9"/>
  <c r="V40" i="12"/>
  <c r="C42"/>
  <c r="V17" i="10"/>
  <c r="C42" i="11"/>
  <c r="T17" i="10"/>
  <c r="C42" i="15"/>
  <c r="C42" i="10"/>
  <c r="Q42"/>
  <c r="E42" i="15"/>
  <c r="S42"/>
  <c r="H42"/>
  <c r="F42"/>
  <c r="T17"/>
  <c r="F42" i="9"/>
  <c r="J42" i="7"/>
  <c r="L42"/>
  <c r="O42"/>
  <c r="S16"/>
  <c r="Q16"/>
  <c r="R15"/>
  <c r="S14"/>
  <c r="Q14"/>
  <c r="R13"/>
  <c r="S12"/>
  <c r="R11"/>
  <c r="S10"/>
  <c r="Q10"/>
  <c r="R9"/>
  <c r="S8"/>
  <c r="Q8"/>
  <c r="R20"/>
  <c r="Q21"/>
  <c r="S21"/>
  <c r="R22"/>
  <c r="Q23"/>
  <c r="R24"/>
  <c r="Q25"/>
  <c r="S25"/>
  <c r="Q33"/>
  <c r="S33"/>
  <c r="R34"/>
  <c r="Q35"/>
  <c r="Q39"/>
  <c r="S39"/>
  <c r="Q6"/>
  <c r="R6"/>
  <c r="R16"/>
  <c r="S15"/>
  <c r="Q15"/>
  <c r="R14"/>
  <c r="S13"/>
  <c r="Q13"/>
  <c r="R12"/>
  <c r="S11"/>
  <c r="Q11"/>
  <c r="R10"/>
  <c r="Q9"/>
  <c r="R8"/>
  <c r="Q20"/>
  <c r="S20"/>
  <c r="R21"/>
  <c r="Q22"/>
  <c r="S22"/>
  <c r="R23"/>
  <c r="Q24"/>
  <c r="S24"/>
  <c r="R25"/>
  <c r="S28"/>
  <c r="R33"/>
  <c r="Q34"/>
  <c r="S34"/>
  <c r="R35"/>
  <c r="R39"/>
  <c r="E42" i="8"/>
  <c r="H17"/>
  <c r="V17"/>
  <c r="G17"/>
  <c r="K42" i="7"/>
  <c r="M42"/>
  <c r="D42" i="8"/>
  <c r="S36"/>
  <c r="N42"/>
  <c r="R40"/>
  <c r="C40" i="7"/>
  <c r="Q40"/>
  <c r="Q38"/>
  <c r="E40"/>
  <c r="S40"/>
  <c r="D40"/>
  <c r="R40"/>
  <c r="R38"/>
  <c r="S40" i="8"/>
  <c r="M17"/>
  <c r="M42"/>
  <c r="L42" i="6"/>
  <c r="K42"/>
  <c r="J42"/>
  <c r="Q42"/>
  <c r="S17"/>
  <c r="G42"/>
  <c r="E42"/>
  <c r="U40"/>
  <c r="U36"/>
  <c r="Q6" i="8"/>
  <c r="C17"/>
  <c r="U17" i="6"/>
  <c r="O42"/>
  <c r="V42"/>
  <c r="N42"/>
  <c r="D17" i="7"/>
  <c r="R7"/>
  <c r="C36"/>
  <c r="Q36"/>
  <c r="E17"/>
  <c r="S7"/>
  <c r="C17"/>
  <c r="Q7"/>
  <c r="D36"/>
  <c r="R36"/>
  <c r="R19"/>
  <c r="M42" i="6"/>
  <c r="T42"/>
  <c r="S17" i="8"/>
  <c r="H42" i="5"/>
  <c r="F42"/>
  <c r="F42" i="4"/>
  <c r="H42"/>
  <c r="G42"/>
  <c r="R14" i="14"/>
  <c r="R8"/>
  <c r="H42" i="3"/>
  <c r="V42"/>
  <c r="F42"/>
  <c r="E42"/>
  <c r="Q36"/>
  <c r="S36"/>
  <c r="Q40"/>
  <c r="S40"/>
  <c r="G42"/>
  <c r="U42"/>
  <c r="R11" i="5"/>
  <c r="Q12"/>
  <c r="R16" i="14"/>
  <c r="Q13"/>
  <c r="Q8"/>
  <c r="R7"/>
  <c r="M36" i="13"/>
  <c r="V36"/>
  <c r="R10" i="5"/>
  <c r="R12"/>
  <c r="S11" i="11"/>
  <c r="S6" i="14"/>
  <c r="O42" i="2"/>
  <c r="N42"/>
  <c r="M42"/>
  <c r="O42" i="8"/>
  <c r="H42" i="2"/>
  <c r="D42"/>
  <c r="R42"/>
  <c r="F42"/>
  <c r="T42"/>
  <c r="E42"/>
  <c r="S42"/>
  <c r="L42" i="8"/>
  <c r="S42"/>
  <c r="G42" i="2"/>
  <c r="L17" i="1"/>
  <c r="L6"/>
  <c r="C42"/>
  <c r="J22"/>
  <c r="J42"/>
  <c r="G42" i="20"/>
  <c r="H42"/>
  <c r="F42"/>
  <c r="K40" i="1"/>
  <c r="K32"/>
  <c r="K28"/>
  <c r="K24"/>
  <c r="K20"/>
  <c r="K38"/>
  <c r="K13"/>
  <c r="K9"/>
  <c r="K35"/>
  <c r="K31"/>
  <c r="K27"/>
  <c r="K23"/>
  <c r="K19"/>
  <c r="K16"/>
  <c r="K12"/>
  <c r="K8"/>
  <c r="K36"/>
  <c r="J40"/>
  <c r="R36" i="20"/>
  <c r="D42" i="10"/>
  <c r="R42"/>
  <c r="E42"/>
  <c r="S42"/>
  <c r="T40"/>
  <c r="V40"/>
  <c r="H42"/>
  <c r="J36" i="14"/>
  <c r="J42" i="12"/>
  <c r="D42" i="15"/>
  <c r="R42"/>
  <c r="K27" i="14"/>
  <c r="K25"/>
  <c r="K23"/>
  <c r="K21"/>
  <c r="F40"/>
  <c r="D40"/>
  <c r="V36" i="10"/>
  <c r="S36"/>
  <c r="M42" i="12"/>
  <c r="K42"/>
  <c r="F36" i="14"/>
  <c r="D36"/>
  <c r="F17"/>
  <c r="D17"/>
  <c r="R6"/>
  <c r="J26"/>
  <c r="J24"/>
  <c r="J22"/>
  <c r="J20"/>
  <c r="L38"/>
  <c r="J38"/>
  <c r="E40"/>
  <c r="C40"/>
  <c r="C42"/>
  <c r="R16" i="20"/>
  <c r="Q15"/>
  <c r="R14"/>
  <c r="Q13"/>
  <c r="T42" i="15"/>
  <c r="U39" i="18"/>
  <c r="U36" i="3"/>
  <c r="C17" i="17"/>
  <c r="V17" i="15"/>
  <c r="H36" i="8"/>
  <c r="R36"/>
  <c r="G36"/>
  <c r="U36"/>
  <c r="S19" i="7"/>
  <c r="R42" i="6"/>
  <c r="S42"/>
  <c r="R17" i="8"/>
  <c r="K42"/>
  <c r="R42"/>
  <c r="E17" i="17"/>
  <c r="J42" i="8"/>
  <c r="T9" i="17"/>
  <c r="O40" i="18"/>
  <c r="O17"/>
  <c r="R17" i="17"/>
  <c r="G42" i="11"/>
  <c r="D42"/>
  <c r="H42"/>
  <c r="M36"/>
  <c r="T36"/>
  <c r="H42" i="12"/>
  <c r="W42"/>
  <c r="E36" i="7"/>
  <c r="S36"/>
  <c r="Q19"/>
  <c r="S38"/>
  <c r="S9"/>
  <c r="S23"/>
  <c r="Q12"/>
  <c r="S6"/>
  <c r="G17" i="10"/>
  <c r="Q27" i="17"/>
  <c r="R32"/>
  <c r="S33"/>
  <c r="S38"/>
  <c r="Q12"/>
  <c r="F42" i="11"/>
  <c r="D40" i="12"/>
  <c r="R40"/>
  <c r="R38"/>
  <c r="T38"/>
  <c r="F40"/>
  <c r="T40"/>
  <c r="R6"/>
  <c r="D17"/>
  <c r="D28" i="17"/>
  <c r="D36"/>
  <c r="D42"/>
  <c r="R28" i="7"/>
  <c r="E27" i="17"/>
  <c r="S27" i="7"/>
  <c r="S27" i="17"/>
  <c r="E26"/>
  <c r="S26"/>
  <c r="S26" i="7"/>
  <c r="E31" i="17"/>
  <c r="S31"/>
  <c r="S31" i="7"/>
  <c r="C26" i="17"/>
  <c r="Q26"/>
  <c r="Q26" i="7"/>
  <c r="E30" i="17"/>
  <c r="S30"/>
  <c r="S30" i="7"/>
  <c r="T22" i="13"/>
  <c r="T24"/>
  <c r="O17" i="4"/>
  <c r="V17"/>
  <c r="T29" i="17"/>
  <c r="J15" i="1"/>
  <c r="J20"/>
  <c r="M42" i="3"/>
  <c r="L38" i="1"/>
  <c r="V42" i="10"/>
  <c r="K17" i="1"/>
  <c r="K6"/>
  <c r="K10"/>
  <c r="K14"/>
  <c r="K39"/>
  <c r="K21"/>
  <c r="K25"/>
  <c r="K29"/>
  <c r="K33"/>
  <c r="K7"/>
  <c r="K11"/>
  <c r="K15"/>
  <c r="K42"/>
  <c r="K22"/>
  <c r="K26"/>
  <c r="K30"/>
  <c r="L36"/>
  <c r="L19"/>
  <c r="N36" i="11"/>
  <c r="V36"/>
  <c r="T19" i="14"/>
  <c r="T20"/>
  <c r="T25"/>
  <c r="T17" i="3"/>
  <c r="T23" i="14"/>
  <c r="V20" i="13"/>
  <c r="L17" i="5"/>
  <c r="S17"/>
  <c r="N17"/>
  <c r="U17"/>
  <c r="J17"/>
  <c r="Q17"/>
  <c r="L20" i="1"/>
  <c r="L22"/>
  <c r="L24"/>
  <c r="L26"/>
  <c r="L28"/>
  <c r="L30"/>
  <c r="L32"/>
  <c r="L34"/>
  <c r="L7"/>
  <c r="L9"/>
  <c r="L11"/>
  <c r="L13"/>
  <c r="L15"/>
  <c r="G38" i="17"/>
  <c r="U38" i="7"/>
  <c r="F32" i="17"/>
  <c r="T32"/>
  <c r="T32" i="7"/>
  <c r="G35" i="17"/>
  <c r="U35"/>
  <c r="U35" i="7"/>
  <c r="V22" i="17"/>
  <c r="V22" i="7"/>
  <c r="V26" i="17"/>
  <c r="V26" i="7"/>
  <c r="V7" i="17"/>
  <c r="V7" i="7"/>
  <c r="V12" i="17"/>
  <c r="V12" i="7"/>
  <c r="G16" i="17"/>
  <c r="U16"/>
  <c r="U16" i="7"/>
  <c r="H6" i="17"/>
  <c r="V6"/>
  <c r="V6" i="7"/>
  <c r="U20" i="8"/>
  <c r="G20" i="7"/>
  <c r="V21" i="8"/>
  <c r="V25"/>
  <c r="U30"/>
  <c r="G30" i="7"/>
  <c r="V19" i="8"/>
  <c r="H19" i="7"/>
  <c r="U10" i="8"/>
  <c r="G10" i="7"/>
  <c r="H38" i="17"/>
  <c r="V38" i="7"/>
  <c r="V31" i="17"/>
  <c r="V31" i="7"/>
  <c r="F35" i="17"/>
  <c r="T35"/>
  <c r="T35" i="7"/>
  <c r="G22" i="17"/>
  <c r="U22"/>
  <c r="U22" i="7"/>
  <c r="F27" i="17"/>
  <c r="T27"/>
  <c r="T27" i="7"/>
  <c r="V30" i="17"/>
  <c r="V30" i="7"/>
  <c r="G12" i="17"/>
  <c r="U12"/>
  <c r="U12" i="7"/>
  <c r="V13" i="17"/>
  <c r="V13" i="7"/>
  <c r="V16" i="17"/>
  <c r="V16" i="7"/>
  <c r="T39" i="8"/>
  <c r="F39" i="7"/>
  <c r="F40" i="8"/>
  <c r="T40"/>
  <c r="T20"/>
  <c r="F20" i="7"/>
  <c r="U21" i="8"/>
  <c r="G21" i="7"/>
  <c r="U27" i="8"/>
  <c r="G27" i="7"/>
  <c r="V28" i="8"/>
  <c r="U19"/>
  <c r="G19" i="7"/>
  <c r="T10" i="8"/>
  <c r="F10" i="7"/>
  <c r="T14" i="8"/>
  <c r="F14" i="7"/>
  <c r="L39" i="1"/>
  <c r="L21"/>
  <c r="L23"/>
  <c r="L25"/>
  <c r="L27"/>
  <c r="L29"/>
  <c r="L31"/>
  <c r="L33"/>
  <c r="L35"/>
  <c r="L8"/>
  <c r="L10"/>
  <c r="L12"/>
  <c r="L14"/>
  <c r="G31" i="17"/>
  <c r="U31"/>
  <c r="U31" i="7"/>
  <c r="V32" i="17"/>
  <c r="V32" i="7"/>
  <c r="F22" i="17"/>
  <c r="T22"/>
  <c r="T22" i="7"/>
  <c r="F26" i="17"/>
  <c r="T26"/>
  <c r="T26" i="7"/>
  <c r="F7" i="17"/>
  <c r="T7"/>
  <c r="T7" i="7"/>
  <c r="F12" i="17"/>
  <c r="T12"/>
  <c r="T12" i="7"/>
  <c r="G13" i="17"/>
  <c r="U13"/>
  <c r="U13" i="7"/>
  <c r="F6" i="17"/>
  <c r="T6"/>
  <c r="T6" i="7"/>
  <c r="U39" i="8"/>
  <c r="G40"/>
  <c r="U40"/>
  <c r="G39" i="7"/>
  <c r="T21" i="8"/>
  <c r="F21" i="7"/>
  <c r="T25" i="8"/>
  <c r="F25" i="7"/>
  <c r="V27" i="8"/>
  <c r="T19"/>
  <c r="F19" i="7"/>
  <c r="F36" i="8"/>
  <c r="T36"/>
  <c r="U8"/>
  <c r="G8" i="7"/>
  <c r="U14" i="8"/>
  <c r="G14" i="7"/>
  <c r="F38" i="17"/>
  <c r="T38"/>
  <c r="T38" i="7"/>
  <c r="F31" i="17"/>
  <c r="T31"/>
  <c r="T31" i="7"/>
  <c r="G32" i="17"/>
  <c r="U32"/>
  <c r="U32" i="7"/>
  <c r="V35" i="17"/>
  <c r="V35" i="7"/>
  <c r="G26" i="17"/>
  <c r="U26"/>
  <c r="U26" i="7"/>
  <c r="G28" i="17"/>
  <c r="U28"/>
  <c r="U28" i="7"/>
  <c r="G7" i="17"/>
  <c r="U7"/>
  <c r="U7" i="7"/>
  <c r="F13" i="17"/>
  <c r="T13"/>
  <c r="T13" i="7"/>
  <c r="F16" i="17"/>
  <c r="T16"/>
  <c r="T16" i="7"/>
  <c r="G6" i="17"/>
  <c r="U6"/>
  <c r="U6" i="7"/>
  <c r="V39" i="8"/>
  <c r="H39" i="7"/>
  <c r="H40" i="8"/>
  <c r="V40"/>
  <c r="V20"/>
  <c r="U25"/>
  <c r="G25" i="7"/>
  <c r="T28" i="8"/>
  <c r="F28" i="7"/>
  <c r="T30" i="8"/>
  <c r="F30" i="7"/>
  <c r="T8" i="8"/>
  <c r="F8" i="7"/>
  <c r="F17" i="8"/>
  <c r="F42"/>
  <c r="T42"/>
  <c r="V10"/>
  <c r="V14"/>
  <c r="O36" i="13"/>
  <c r="V36" i="14"/>
  <c r="V36" i="1"/>
  <c r="F34" i="17"/>
  <c r="T34" i="7"/>
  <c r="G34" i="17"/>
  <c r="U34"/>
  <c r="U34" i="7"/>
  <c r="V34" i="17"/>
  <c r="V34" i="7"/>
  <c r="T34" i="17"/>
  <c r="V23"/>
  <c r="V23" i="7"/>
  <c r="G23" i="17"/>
  <c r="U23"/>
  <c r="U23" i="7"/>
  <c r="F23" i="17"/>
  <c r="T23" i="7"/>
  <c r="S17" i="12"/>
  <c r="E42"/>
  <c r="S42"/>
  <c r="V15" i="17"/>
  <c r="V15" i="7"/>
  <c r="F15" i="17"/>
  <c r="T15"/>
  <c r="T15" i="7"/>
  <c r="F42" i="10"/>
  <c r="T42"/>
  <c r="G33" i="17"/>
  <c r="U33" i="7"/>
  <c r="O17" i="14"/>
  <c r="V9" i="17"/>
  <c r="V9" i="7"/>
  <c r="G9" i="17"/>
  <c r="U9" i="7"/>
  <c r="U42" i="2"/>
  <c r="N36" i="14"/>
  <c r="G42"/>
  <c r="V24" i="17"/>
  <c r="V24" i="7"/>
  <c r="L36" i="18"/>
  <c r="J17" i="17"/>
  <c r="Q6"/>
  <c r="Q38"/>
  <c r="J40"/>
  <c r="Q40"/>
  <c r="J17" i="18"/>
  <c r="L40"/>
  <c r="J36"/>
  <c r="J36" i="17"/>
  <c r="R38"/>
  <c r="K40"/>
  <c r="R40"/>
  <c r="L36"/>
  <c r="S19"/>
  <c r="Q42" i="12"/>
  <c r="U20" i="18"/>
  <c r="U23"/>
  <c r="U26"/>
  <c r="U27"/>
  <c r="U30"/>
  <c r="U31"/>
  <c r="U32"/>
  <c r="U34"/>
  <c r="N40"/>
  <c r="K17"/>
  <c r="K36"/>
  <c r="L17"/>
  <c r="L17" i="17"/>
  <c r="K36"/>
  <c r="R36"/>
  <c r="O42" i="15"/>
  <c r="V42"/>
  <c r="U17" i="12"/>
  <c r="V11" i="7"/>
  <c r="U17" i="8"/>
  <c r="F11" i="17"/>
  <c r="T11" i="7"/>
  <c r="T11" i="17"/>
  <c r="O40" i="1"/>
  <c r="O38"/>
  <c r="O20"/>
  <c r="O21"/>
  <c r="O22"/>
  <c r="O23"/>
  <c r="O24"/>
  <c r="O25"/>
  <c r="O26"/>
  <c r="O27"/>
  <c r="O28"/>
  <c r="O29"/>
  <c r="O30"/>
  <c r="O31"/>
  <c r="O32"/>
  <c r="O33"/>
  <c r="O34"/>
  <c r="O35"/>
  <c r="O6"/>
  <c r="O36"/>
  <c r="O42"/>
  <c r="O39"/>
  <c r="O19"/>
  <c r="O7"/>
  <c r="O8"/>
  <c r="O9"/>
  <c r="O10"/>
  <c r="O12"/>
  <c r="O13"/>
  <c r="O14"/>
  <c r="O15"/>
  <c r="O16"/>
  <c r="V42"/>
  <c r="O17"/>
  <c r="O11"/>
  <c r="N36"/>
  <c r="N40"/>
  <c r="N42"/>
  <c r="N20"/>
  <c r="N22"/>
  <c r="N24"/>
  <c r="N26"/>
  <c r="N28"/>
  <c r="N30"/>
  <c r="N32"/>
  <c r="N34"/>
  <c r="N7"/>
  <c r="N9"/>
  <c r="N13"/>
  <c r="N15"/>
  <c r="N39"/>
  <c r="N38"/>
  <c r="N21"/>
  <c r="N23"/>
  <c r="N25"/>
  <c r="N27"/>
  <c r="N29"/>
  <c r="N31"/>
  <c r="N33"/>
  <c r="N35"/>
  <c r="N19"/>
  <c r="N8"/>
  <c r="N10"/>
  <c r="N12"/>
  <c r="N14"/>
  <c r="N16"/>
  <c r="N6"/>
  <c r="N17"/>
  <c r="N11"/>
  <c r="T42"/>
  <c r="M40"/>
  <c r="M38"/>
  <c r="M20"/>
  <c r="M21"/>
  <c r="M22"/>
  <c r="M23"/>
  <c r="M24"/>
  <c r="M25"/>
  <c r="M26"/>
  <c r="M27"/>
  <c r="M28"/>
  <c r="M29"/>
  <c r="M30"/>
  <c r="M31"/>
  <c r="M32"/>
  <c r="M33"/>
  <c r="M34"/>
  <c r="M35"/>
  <c r="M6"/>
  <c r="M36"/>
  <c r="M42"/>
  <c r="M39"/>
  <c r="M19"/>
  <c r="M7"/>
  <c r="M8"/>
  <c r="M9"/>
  <c r="M10"/>
  <c r="M12"/>
  <c r="M13"/>
  <c r="M14"/>
  <c r="M15"/>
  <c r="M16"/>
  <c r="M17"/>
  <c r="O40" i="13"/>
  <c r="H38" i="18"/>
  <c r="V38" i="13"/>
  <c r="O40" i="9"/>
  <c r="V40"/>
  <c r="V38"/>
  <c r="O40" i="11"/>
  <c r="W40"/>
  <c r="V38"/>
  <c r="H35" i="18"/>
  <c r="V35" i="13"/>
  <c r="V35" i="18"/>
  <c r="V16" i="13"/>
  <c r="H34" i="18"/>
  <c r="V34"/>
  <c r="V34" i="14"/>
  <c r="H33" i="18"/>
  <c r="V33" i="13"/>
  <c r="V33" i="18"/>
  <c r="V14" i="13"/>
  <c r="L42" i="3"/>
  <c r="H32" i="18"/>
  <c r="V32"/>
  <c r="V32" i="13"/>
  <c r="H30" i="18"/>
  <c r="V30"/>
  <c r="V30" i="13"/>
  <c r="V11" i="14"/>
  <c r="V11" i="13"/>
  <c r="H29" i="18"/>
  <c r="V29"/>
  <c r="V29" i="14"/>
  <c r="H27" i="18"/>
  <c r="V27" i="13"/>
  <c r="V27" i="18"/>
  <c r="V9" i="14"/>
  <c r="V9" i="13"/>
  <c r="H7" i="18"/>
  <c r="V7"/>
  <c r="V7" i="13"/>
  <c r="V19"/>
  <c r="H19" i="18"/>
  <c r="V19"/>
  <c r="O36" i="9"/>
  <c r="V36"/>
  <c r="V19"/>
  <c r="V19" i="4"/>
  <c r="O36"/>
  <c r="V36"/>
  <c r="O36" i="11"/>
  <c r="W36"/>
  <c r="V19"/>
  <c r="V19" i="5"/>
  <c r="O36"/>
  <c r="V36"/>
  <c r="V13" i="13"/>
  <c r="H6" i="18"/>
  <c r="V6" i="13"/>
  <c r="V6" i="9"/>
  <c r="O17"/>
  <c r="O17" i="11"/>
  <c r="V6"/>
  <c r="V6" i="5"/>
  <c r="O17"/>
  <c r="M40" i="17"/>
  <c r="M36"/>
  <c r="M42" i="18"/>
  <c r="N36"/>
  <c r="N36" i="17"/>
  <c r="O36" i="18"/>
  <c r="O42"/>
  <c r="O36" i="17"/>
  <c r="M17"/>
  <c r="N17" i="18"/>
  <c r="J42" i="15"/>
  <c r="Q17"/>
  <c r="Q42"/>
  <c r="V36" i="12"/>
  <c r="U36"/>
  <c r="G42"/>
  <c r="U29" i="7"/>
  <c r="G36"/>
  <c r="U42" i="6"/>
  <c r="S42" i="3"/>
  <c r="V42" i="2"/>
  <c r="V42" i="20"/>
  <c r="U42"/>
  <c r="T42"/>
  <c r="T38" i="11"/>
  <c r="M40"/>
  <c r="T40"/>
  <c r="K40" i="9"/>
  <c r="R40"/>
  <c r="R38"/>
  <c r="F39" i="18"/>
  <c r="T39"/>
  <c r="T39" i="13"/>
  <c r="U38"/>
  <c r="N40"/>
  <c r="W40"/>
  <c r="G38" i="18"/>
  <c r="U38" i="9"/>
  <c r="N40"/>
  <c r="U40"/>
  <c r="J40" i="5"/>
  <c r="Q40"/>
  <c r="T38" i="9"/>
  <c r="M40"/>
  <c r="T40"/>
  <c r="U38" i="11"/>
  <c r="N40"/>
  <c r="L40" i="9"/>
  <c r="S40"/>
  <c r="S38"/>
  <c r="J40"/>
  <c r="Q40"/>
  <c r="Q38"/>
  <c r="R38" i="5"/>
  <c r="K40"/>
  <c r="R40"/>
  <c r="F35" i="18"/>
  <c r="T35"/>
  <c r="T35" i="13"/>
  <c r="F34" i="18"/>
  <c r="T34"/>
  <c r="T34" i="14"/>
  <c r="F33" i="18"/>
  <c r="T33"/>
  <c r="T33" i="13"/>
  <c r="T30"/>
  <c r="F30" i="18"/>
  <c r="T30"/>
  <c r="T31" i="13"/>
  <c r="F31" i="18"/>
  <c r="T31"/>
  <c r="T32" i="13"/>
  <c r="F32" i="18"/>
  <c r="T32"/>
  <c r="F29"/>
  <c r="T29"/>
  <c r="T29" i="14"/>
  <c r="F28" i="18"/>
  <c r="T28"/>
  <c r="T28" i="13"/>
  <c r="T27"/>
  <c r="F27" i="18"/>
  <c r="U19" i="9"/>
  <c r="N36"/>
  <c r="U36"/>
  <c r="L36" i="5"/>
  <c r="S36"/>
  <c r="S19"/>
  <c r="J36"/>
  <c r="Q36"/>
  <c r="Q19"/>
  <c r="U19" i="4"/>
  <c r="N36"/>
  <c r="U36"/>
  <c r="R19" i="9"/>
  <c r="K36"/>
  <c r="R36"/>
  <c r="R19" i="5"/>
  <c r="K36"/>
  <c r="R36"/>
  <c r="L36" i="9"/>
  <c r="S36"/>
  <c r="S19"/>
  <c r="Q19"/>
  <c r="J36"/>
  <c r="Q36"/>
  <c r="U19" i="5"/>
  <c r="N36"/>
  <c r="U36"/>
  <c r="D19" i="18"/>
  <c r="R19"/>
  <c r="R19" i="14"/>
  <c r="R19" i="13"/>
  <c r="T19" i="9"/>
  <c r="M36"/>
  <c r="T36"/>
  <c r="T19" i="5"/>
  <c r="M36"/>
  <c r="T36"/>
  <c r="M36" i="4"/>
  <c r="T36"/>
  <c r="T19"/>
  <c r="U19" i="18"/>
  <c r="G36"/>
  <c r="U36"/>
  <c r="J42" i="3"/>
  <c r="Q42"/>
  <c r="L42" i="5"/>
  <c r="S42"/>
  <c r="S16" i="14"/>
  <c r="Q16" i="13"/>
  <c r="U16"/>
  <c r="Q15"/>
  <c r="U15" i="14"/>
  <c r="U15" i="13"/>
  <c r="T42" i="3"/>
  <c r="K42"/>
  <c r="R42"/>
  <c r="Q17"/>
  <c r="G7" i="18"/>
  <c r="U7"/>
  <c r="U7" i="13"/>
  <c r="M17" i="9"/>
  <c r="T6"/>
  <c r="M17" i="4"/>
  <c r="T17"/>
  <c r="T6"/>
  <c r="U6" i="13"/>
  <c r="N17"/>
  <c r="W17"/>
  <c r="G6" i="18"/>
  <c r="U6" i="9"/>
  <c r="N17"/>
  <c r="R6" i="5"/>
  <c r="K17"/>
  <c r="T6" i="18"/>
  <c r="F17"/>
  <c r="T17"/>
  <c r="R6" i="9"/>
  <c r="K17"/>
  <c r="E6" i="18"/>
  <c r="S6"/>
  <c r="S6" i="13"/>
  <c r="Q6"/>
  <c r="C6" i="18"/>
  <c r="S6" i="9"/>
  <c r="L17"/>
  <c r="Q6"/>
  <c r="J17"/>
  <c r="T6" i="5"/>
  <c r="M17"/>
  <c r="T17"/>
  <c r="U6" i="4"/>
  <c r="N17"/>
  <c r="U17" i="14"/>
  <c r="T38" i="13"/>
  <c r="M40"/>
  <c r="T40" i="14"/>
  <c r="U36" i="11"/>
  <c r="V38" i="4"/>
  <c r="O40"/>
  <c r="N40" i="5"/>
  <c r="U38"/>
  <c r="T38" i="4"/>
  <c r="M40"/>
  <c r="R39" i="11"/>
  <c r="R27"/>
  <c r="R31"/>
  <c r="R35"/>
  <c r="R23"/>
  <c r="Q28"/>
  <c r="Q30"/>
  <c r="Q32"/>
  <c r="Q34"/>
  <c r="Q20"/>
  <c r="Q22"/>
  <c r="Q24"/>
  <c r="Q26"/>
  <c r="R29"/>
  <c r="R33"/>
  <c r="R21"/>
  <c r="R25"/>
  <c r="S28"/>
  <c r="S30"/>
  <c r="S32"/>
  <c r="S34"/>
  <c r="S20"/>
  <c r="S22"/>
  <c r="S24"/>
  <c r="S26"/>
  <c r="S7"/>
  <c r="Q9"/>
  <c r="Q7"/>
  <c r="S9"/>
  <c r="J9" i="1"/>
  <c r="J32"/>
  <c r="J38"/>
  <c r="J13"/>
  <c r="J28"/>
  <c r="J11"/>
  <c r="J7"/>
  <c r="J34"/>
  <c r="J30"/>
  <c r="J26"/>
  <c r="L42"/>
  <c r="L40"/>
  <c r="J24"/>
  <c r="K17" i="4"/>
  <c r="R17"/>
  <c r="R10"/>
  <c r="L17"/>
  <c r="S17"/>
  <c r="Q10"/>
  <c r="J17"/>
  <c r="Q17"/>
  <c r="L36"/>
  <c r="S19"/>
  <c r="K40"/>
  <c r="R40"/>
  <c r="R38"/>
  <c r="S39"/>
  <c r="Q39"/>
  <c r="Q27"/>
  <c r="Q29"/>
  <c r="Q31"/>
  <c r="Q33"/>
  <c r="Q35"/>
  <c r="Q21"/>
  <c r="Q23"/>
  <c r="Q25"/>
  <c r="L40"/>
  <c r="S40"/>
  <c r="S38"/>
  <c r="J40"/>
  <c r="Q40"/>
  <c r="Q38"/>
  <c r="R28"/>
  <c r="R30"/>
  <c r="R32"/>
  <c r="R34"/>
  <c r="K36"/>
  <c r="R20"/>
  <c r="R22"/>
  <c r="R24"/>
  <c r="R26"/>
  <c r="J36"/>
  <c r="Q19"/>
  <c r="N42" i="14"/>
  <c r="H42" i="8"/>
  <c r="V42"/>
  <c r="V36"/>
  <c r="C42"/>
  <c r="Q42"/>
  <c r="Q17"/>
  <c r="Q17" i="7"/>
  <c r="C42"/>
  <c r="Q42"/>
  <c r="S17"/>
  <c r="E42"/>
  <c r="S42"/>
  <c r="D42"/>
  <c r="R42"/>
  <c r="R17"/>
  <c r="T36" i="13"/>
  <c r="Q12" i="11"/>
  <c r="R11"/>
  <c r="M17"/>
  <c r="L17"/>
  <c r="R12"/>
  <c r="K17"/>
  <c r="R10"/>
  <c r="Q11"/>
  <c r="J17"/>
  <c r="N17"/>
  <c r="U17"/>
  <c r="J17" i="1"/>
  <c r="J39"/>
  <c r="J14"/>
  <c r="J10"/>
  <c r="J6"/>
  <c r="J33"/>
  <c r="J29"/>
  <c r="J25"/>
  <c r="J21"/>
  <c r="J16"/>
  <c r="J12"/>
  <c r="J8"/>
  <c r="J35"/>
  <c r="J31"/>
  <c r="J27"/>
  <c r="J23"/>
  <c r="J19"/>
  <c r="J36"/>
  <c r="J42" i="14"/>
  <c r="O42"/>
  <c r="J17" i="20"/>
  <c r="Q17" i="1"/>
  <c r="Q6" i="20"/>
  <c r="L17"/>
  <c r="S17" i="1"/>
  <c r="L40" i="14"/>
  <c r="K17"/>
  <c r="D42"/>
  <c r="M17"/>
  <c r="F42"/>
  <c r="T36"/>
  <c r="M36"/>
  <c r="E42"/>
  <c r="R6" i="20"/>
  <c r="K17"/>
  <c r="R17" i="1"/>
  <c r="J40" i="14"/>
  <c r="O40"/>
  <c r="V40"/>
  <c r="Q6" i="18"/>
  <c r="K36" i="14"/>
  <c r="K40"/>
  <c r="M40"/>
  <c r="L42" i="17"/>
  <c r="O42" i="11"/>
  <c r="W42"/>
  <c r="W17"/>
  <c r="S17" i="17"/>
  <c r="U17" i="10"/>
  <c r="G42"/>
  <c r="U42"/>
  <c r="E36" i="17"/>
  <c r="E42"/>
  <c r="R28"/>
  <c r="R17" i="12"/>
  <c r="D42"/>
  <c r="R42"/>
  <c r="C36" i="17"/>
  <c r="C42"/>
  <c r="F42" i="12"/>
  <c r="T42"/>
  <c r="V14" i="17"/>
  <c r="V14" i="7"/>
  <c r="V10" i="17"/>
  <c r="V10" i="7"/>
  <c r="H17"/>
  <c r="H39" i="17"/>
  <c r="V39"/>
  <c r="V39" i="7"/>
  <c r="H40"/>
  <c r="V40"/>
  <c r="G14" i="17"/>
  <c r="U14"/>
  <c r="U14" i="7"/>
  <c r="G8" i="17"/>
  <c r="U8"/>
  <c r="U8" i="7"/>
  <c r="G17"/>
  <c r="U17"/>
  <c r="F14" i="17"/>
  <c r="T14"/>
  <c r="T14" i="7"/>
  <c r="F10" i="17"/>
  <c r="T10"/>
  <c r="T10" i="7"/>
  <c r="G19" i="17"/>
  <c r="U19"/>
  <c r="U19" i="7"/>
  <c r="V28" i="17"/>
  <c r="V28" i="7"/>
  <c r="G27" i="17"/>
  <c r="U27"/>
  <c r="U27" i="7"/>
  <c r="G21" i="17"/>
  <c r="U21"/>
  <c r="U21" i="7"/>
  <c r="F20" i="17"/>
  <c r="T20"/>
  <c r="T20" i="7"/>
  <c r="H40" i="17"/>
  <c r="V40"/>
  <c r="V38"/>
  <c r="G42" i="8"/>
  <c r="U42"/>
  <c r="M42" i="5"/>
  <c r="T42"/>
  <c r="L42" i="18"/>
  <c r="F8" i="17"/>
  <c r="T8"/>
  <c r="T8" i="7"/>
  <c r="F17"/>
  <c r="F30" i="17"/>
  <c r="T30"/>
  <c r="T30" i="7"/>
  <c r="F28" i="17"/>
  <c r="T28"/>
  <c r="T28" i="7"/>
  <c r="G25" i="17"/>
  <c r="U25"/>
  <c r="U25" i="7"/>
  <c r="V20" i="17"/>
  <c r="V20" i="7"/>
  <c r="F19" i="17"/>
  <c r="T19"/>
  <c r="T19" i="7"/>
  <c r="F36"/>
  <c r="T36"/>
  <c r="V27" i="17"/>
  <c r="V27" i="7"/>
  <c r="F25" i="17"/>
  <c r="T25"/>
  <c r="T25" i="7"/>
  <c r="F21" i="17"/>
  <c r="T21"/>
  <c r="T21" i="7"/>
  <c r="G39" i="17"/>
  <c r="U39"/>
  <c r="U39" i="7"/>
  <c r="F39" i="17"/>
  <c r="T39"/>
  <c r="T39" i="7"/>
  <c r="F40"/>
  <c r="T40"/>
  <c r="G10" i="17"/>
  <c r="U10"/>
  <c r="U10" i="7"/>
  <c r="H19" i="17"/>
  <c r="V19"/>
  <c r="V19" i="7"/>
  <c r="H36"/>
  <c r="V36"/>
  <c r="G30" i="17"/>
  <c r="U30"/>
  <c r="U30" i="7"/>
  <c r="V25" i="17"/>
  <c r="V25" i="7"/>
  <c r="V21" i="17"/>
  <c r="V21" i="7"/>
  <c r="G20" i="17"/>
  <c r="U20"/>
  <c r="U20" i="7"/>
  <c r="G40"/>
  <c r="U40"/>
  <c r="G40" i="17"/>
  <c r="U40"/>
  <c r="U38"/>
  <c r="T17" i="8"/>
  <c r="H36" i="18"/>
  <c r="V36"/>
  <c r="T23" i="17"/>
  <c r="U33"/>
  <c r="U9"/>
  <c r="G17"/>
  <c r="K42" i="18"/>
  <c r="Q17" i="17"/>
  <c r="J42"/>
  <c r="J42" i="18"/>
  <c r="K42" i="17"/>
  <c r="R42"/>
  <c r="V11"/>
  <c r="H17"/>
  <c r="V38" i="18"/>
  <c r="H40"/>
  <c r="V40"/>
  <c r="H17"/>
  <c r="V17"/>
  <c r="V6"/>
  <c r="V17" i="5"/>
  <c r="O42"/>
  <c r="V42"/>
  <c r="V17" i="9"/>
  <c r="O42"/>
  <c r="N42" i="18"/>
  <c r="N42" i="17"/>
  <c r="O42"/>
  <c r="M42"/>
  <c r="V42" i="12"/>
  <c r="U42"/>
  <c r="U36" i="7"/>
  <c r="G42"/>
  <c r="U42"/>
  <c r="G40" i="18"/>
  <c r="U40"/>
  <c r="U38"/>
  <c r="U40" i="11"/>
  <c r="V40"/>
  <c r="U40" i="13"/>
  <c r="U40" i="14"/>
  <c r="T27" i="18"/>
  <c r="F36"/>
  <c r="T36"/>
  <c r="J42" i="5"/>
  <c r="Q42"/>
  <c r="K42"/>
  <c r="R42"/>
  <c r="R17"/>
  <c r="U17" i="9"/>
  <c r="N42"/>
  <c r="U6" i="18"/>
  <c r="G17"/>
  <c r="M42" i="9"/>
  <c r="T17"/>
  <c r="U17" i="4"/>
  <c r="N42"/>
  <c r="U42"/>
  <c r="Q17" i="9"/>
  <c r="J42"/>
  <c r="Q42"/>
  <c r="L42"/>
  <c r="S42"/>
  <c r="S17"/>
  <c r="R17"/>
  <c r="K42"/>
  <c r="R42"/>
  <c r="U17" i="13"/>
  <c r="N42"/>
  <c r="W42"/>
  <c r="V40"/>
  <c r="T40"/>
  <c r="T38" i="18"/>
  <c r="F40"/>
  <c r="V40" i="4"/>
  <c r="O42"/>
  <c r="V42"/>
  <c r="N42" i="5"/>
  <c r="U42"/>
  <c r="U40"/>
  <c r="T40" i="4"/>
  <c r="M42"/>
  <c r="T42"/>
  <c r="Q39" i="11"/>
  <c r="S39"/>
  <c r="R39" i="18"/>
  <c r="R39" i="14"/>
  <c r="R39" i="13"/>
  <c r="L40" i="11"/>
  <c r="S40"/>
  <c r="S38"/>
  <c r="K40"/>
  <c r="R40"/>
  <c r="R38"/>
  <c r="J40"/>
  <c r="Q40"/>
  <c r="Q38"/>
  <c r="K36"/>
  <c r="R36"/>
  <c r="R20"/>
  <c r="R34"/>
  <c r="R32"/>
  <c r="R30"/>
  <c r="R28"/>
  <c r="S23"/>
  <c r="Q23"/>
  <c r="S35"/>
  <c r="Q35"/>
  <c r="S31"/>
  <c r="Q31"/>
  <c r="S27"/>
  <c r="Q27"/>
  <c r="S26" i="18"/>
  <c r="S26" i="14"/>
  <c r="S26" i="13"/>
  <c r="S24" i="18"/>
  <c r="S24" i="14"/>
  <c r="S24" i="13"/>
  <c r="S22" i="18"/>
  <c r="S22" i="14"/>
  <c r="S22" i="13"/>
  <c r="S20" i="18"/>
  <c r="S20" i="14"/>
  <c r="S20" i="13"/>
  <c r="S34" i="18"/>
  <c r="S34" i="14"/>
  <c r="S34" i="13"/>
  <c r="S32" i="14"/>
  <c r="S32" i="18"/>
  <c r="S32" i="13"/>
  <c r="S30" i="14"/>
  <c r="S30" i="18"/>
  <c r="S30" i="13"/>
  <c r="S28" i="18"/>
  <c r="S28" i="14"/>
  <c r="S28" i="13"/>
  <c r="R25" i="18"/>
  <c r="R25" i="13"/>
  <c r="R25" i="14"/>
  <c r="R21" i="18"/>
  <c r="R21" i="13"/>
  <c r="R21" i="14"/>
  <c r="R33" i="18"/>
  <c r="R33" i="14"/>
  <c r="R33" i="13"/>
  <c r="R29" i="18"/>
  <c r="R29" i="14"/>
  <c r="R29" i="13"/>
  <c r="Q26" i="18"/>
  <c r="Q26" i="13"/>
  <c r="Q26" i="14"/>
  <c r="Q24" i="18"/>
  <c r="Q24" i="13"/>
  <c r="Q24" i="14"/>
  <c r="Q22" i="18"/>
  <c r="Q22" i="13"/>
  <c r="Q22" i="14"/>
  <c r="Q20" i="18"/>
  <c r="Q20" i="13"/>
  <c r="Q20" i="14"/>
  <c r="Q34" i="18"/>
  <c r="Q34" i="14"/>
  <c r="Q34" i="13"/>
  <c r="Q32" i="18"/>
  <c r="Q32" i="13"/>
  <c r="Q32" i="14"/>
  <c r="Q30" i="18"/>
  <c r="Q30" i="14"/>
  <c r="Q30" i="13"/>
  <c r="Q28" i="18"/>
  <c r="Q28" i="14"/>
  <c r="Q28" i="13"/>
  <c r="R23" i="18"/>
  <c r="R23" i="13"/>
  <c r="R23" i="14"/>
  <c r="R35" i="18"/>
  <c r="R35" i="14"/>
  <c r="R35" i="13"/>
  <c r="R31" i="18"/>
  <c r="R31" i="13"/>
  <c r="R31" i="14"/>
  <c r="R27" i="18"/>
  <c r="R27" i="13"/>
  <c r="R27" i="14"/>
  <c r="R26" i="11"/>
  <c r="R24"/>
  <c r="R22"/>
  <c r="S25"/>
  <c r="Q25"/>
  <c r="S21"/>
  <c r="Q21"/>
  <c r="S33"/>
  <c r="Q33"/>
  <c r="S29"/>
  <c r="Q29"/>
  <c r="L36"/>
  <c r="S36"/>
  <c r="S19"/>
  <c r="J36"/>
  <c r="Q36"/>
  <c r="Q19"/>
  <c r="S12" i="13"/>
  <c r="S12" i="14"/>
  <c r="S9"/>
  <c r="S9" i="13"/>
  <c r="Q7" i="18"/>
  <c r="Q7" i="13"/>
  <c r="Q7" i="14"/>
  <c r="Q9"/>
  <c r="Q9" i="13"/>
  <c r="S7" i="18"/>
  <c r="S7" i="13"/>
  <c r="S7" i="14"/>
  <c r="S11"/>
  <c r="S11" i="13"/>
  <c r="S10" i="14"/>
  <c r="S10" i="13"/>
  <c r="Q10" i="11"/>
  <c r="Q36" i="4"/>
  <c r="J42"/>
  <c r="Q42"/>
  <c r="K42"/>
  <c r="R42"/>
  <c r="R36"/>
  <c r="L42"/>
  <c r="S42"/>
  <c r="S36"/>
  <c r="H42" i="18"/>
  <c r="V42"/>
  <c r="R11" i="14"/>
  <c r="R11" i="13"/>
  <c r="Q12" i="14"/>
  <c r="Q12" i="13"/>
  <c r="O17"/>
  <c r="R10" i="14"/>
  <c r="R10" i="13"/>
  <c r="K17"/>
  <c r="R12" i="14"/>
  <c r="R12" i="13"/>
  <c r="S17" i="11"/>
  <c r="M17" i="13"/>
  <c r="N42" i="11"/>
  <c r="V17"/>
  <c r="Q17"/>
  <c r="Q11" i="14"/>
  <c r="Q11" i="13"/>
  <c r="J17"/>
  <c r="R17" i="11"/>
  <c r="L17" i="13"/>
  <c r="M42" i="11"/>
  <c r="T42"/>
  <c r="T17"/>
  <c r="K42" i="20"/>
  <c r="R17"/>
  <c r="L42" i="14"/>
  <c r="M42"/>
  <c r="L42" i="20"/>
  <c r="S17"/>
  <c r="K42" i="14"/>
  <c r="J42" i="20"/>
  <c r="Q17"/>
  <c r="S42" i="17"/>
  <c r="U42" i="9"/>
  <c r="W42"/>
  <c r="K42" i="11"/>
  <c r="R42"/>
  <c r="Q42" i="17"/>
  <c r="G36"/>
  <c r="U36"/>
  <c r="Q36"/>
  <c r="S36"/>
  <c r="J42" i="11"/>
  <c r="Q42"/>
  <c r="L42"/>
  <c r="S42"/>
  <c r="F40" i="17"/>
  <c r="T40"/>
  <c r="F36"/>
  <c r="T36"/>
  <c r="F17"/>
  <c r="H36"/>
  <c r="V36"/>
  <c r="T17" i="7"/>
  <c r="F42"/>
  <c r="T42"/>
  <c r="V17"/>
  <c r="H42"/>
  <c r="V42"/>
  <c r="U17" i="17"/>
  <c r="V17"/>
  <c r="R42" i="20"/>
  <c r="R42" i="1"/>
  <c r="Q42" i="20"/>
  <c r="Q42" i="1"/>
  <c r="S42" i="20"/>
  <c r="S42" i="1"/>
  <c r="V42" i="9"/>
  <c r="T42"/>
  <c r="U42" i="13"/>
  <c r="U42" i="14"/>
  <c r="U17" i="18"/>
  <c r="G42"/>
  <c r="U42"/>
  <c r="T40"/>
  <c r="F42"/>
  <c r="T42"/>
  <c r="V42" i="11"/>
  <c r="U42"/>
  <c r="S39" i="13"/>
  <c r="S39" i="18"/>
  <c r="S39" i="14"/>
  <c r="Q39" i="18"/>
  <c r="Q39" i="14"/>
  <c r="Q39" i="13"/>
  <c r="L40"/>
  <c r="S38"/>
  <c r="S38" i="14"/>
  <c r="K40" i="13"/>
  <c r="R38"/>
  <c r="R38" i="14"/>
  <c r="J40" i="13"/>
  <c r="Q38"/>
  <c r="Q38" i="14"/>
  <c r="R20"/>
  <c r="R20" i="13"/>
  <c r="K36"/>
  <c r="Q29" i="18"/>
  <c r="Q29" i="14"/>
  <c r="Q29" i="13"/>
  <c r="S29" i="14"/>
  <c r="S29" i="13"/>
  <c r="S29" i="18"/>
  <c r="Q33"/>
  <c r="Q33" i="14"/>
  <c r="Q33" i="13"/>
  <c r="S33" i="14"/>
  <c r="S33" i="13"/>
  <c r="S33" i="18"/>
  <c r="Q21"/>
  <c r="Q21" i="14"/>
  <c r="Q21" i="13"/>
  <c r="S21" i="18"/>
  <c r="S21" i="14"/>
  <c r="S21" i="13"/>
  <c r="Q25" i="18"/>
  <c r="Q25" i="13"/>
  <c r="Q25" i="14"/>
  <c r="S25" i="18"/>
  <c r="S25" i="14"/>
  <c r="S25" i="13"/>
  <c r="R22" i="18"/>
  <c r="R22" i="13"/>
  <c r="R22" i="14"/>
  <c r="R24" i="18"/>
  <c r="R24" i="14"/>
  <c r="R24" i="13"/>
  <c r="R26" i="18"/>
  <c r="R26" i="13"/>
  <c r="R26" i="14"/>
  <c r="Q27"/>
  <c r="Q27" i="18"/>
  <c r="Q27" i="13"/>
  <c r="S27" i="14"/>
  <c r="S27" i="13"/>
  <c r="S27" i="18"/>
  <c r="Q31"/>
  <c r="Q31" i="14"/>
  <c r="Q31" i="13"/>
  <c r="S31" i="14"/>
  <c r="S31" i="13"/>
  <c r="S31" i="18"/>
  <c r="Q35"/>
  <c r="Q35" i="14"/>
  <c r="Q35" i="13"/>
  <c r="S35" i="14"/>
  <c r="S35" i="13"/>
  <c r="S35" i="18"/>
  <c r="Q23"/>
  <c r="Q23" i="14"/>
  <c r="Q23" i="13"/>
  <c r="S23" i="14"/>
  <c r="S23" i="18"/>
  <c r="S23" i="13"/>
  <c r="R28" i="14"/>
  <c r="R28" i="13"/>
  <c r="R28" i="18"/>
  <c r="R30" i="13"/>
  <c r="R30" i="18"/>
  <c r="R30" i="14"/>
  <c r="R32" i="13"/>
  <c r="R32" i="18"/>
  <c r="R32" i="14"/>
  <c r="R34" i="13"/>
  <c r="R34" i="18"/>
  <c r="R34" i="14"/>
  <c r="S19" i="13"/>
  <c r="L36"/>
  <c r="L42"/>
  <c r="S19" i="14"/>
  <c r="Q19" i="13"/>
  <c r="J36"/>
  <c r="J42"/>
  <c r="Q19" i="14"/>
  <c r="Q10" i="13"/>
  <c r="Q10" i="14"/>
  <c r="E17" i="18"/>
  <c r="V17" i="13"/>
  <c r="T17"/>
  <c r="M42"/>
  <c r="T17" i="14"/>
  <c r="D17" i="18"/>
  <c r="S17" i="14"/>
  <c r="S17" i="13"/>
  <c r="Q17" i="14"/>
  <c r="Q17" i="13"/>
  <c r="R17"/>
  <c r="K42"/>
  <c r="R17" i="14"/>
  <c r="O42" i="13"/>
  <c r="V42" i="14"/>
  <c r="V17"/>
  <c r="G42" i="17"/>
  <c r="U42"/>
  <c r="H42"/>
  <c r="V42"/>
  <c r="T17"/>
  <c r="F42"/>
  <c r="T42"/>
  <c r="C17" i="18"/>
  <c r="Q17"/>
  <c r="D40"/>
  <c r="R40"/>
  <c r="R38"/>
  <c r="E40"/>
  <c r="S40"/>
  <c r="S38"/>
  <c r="R40" i="13"/>
  <c r="R40" i="14"/>
  <c r="S40" i="13"/>
  <c r="S40" i="14"/>
  <c r="Q38" i="18"/>
  <c r="C40"/>
  <c r="Q40"/>
  <c r="Q40" i="13"/>
  <c r="Q40" i="14"/>
  <c r="R20" i="18"/>
  <c r="D36"/>
  <c r="R36"/>
  <c r="R36" i="13"/>
  <c r="R36" i="14"/>
  <c r="S36"/>
  <c r="S36" i="13"/>
  <c r="S19" i="18"/>
  <c r="E36"/>
  <c r="S36"/>
  <c r="Q36" i="14"/>
  <c r="Q36" i="13"/>
  <c r="Q19" i="18"/>
  <c r="C36"/>
  <c r="Q36"/>
  <c r="R42" i="13"/>
  <c r="R42" i="14"/>
  <c r="R17" i="18"/>
  <c r="S42" i="13"/>
  <c r="S42" i="14"/>
  <c r="V42" i="13"/>
  <c r="T42"/>
  <c r="T42" i="14"/>
  <c r="Q42" i="13"/>
  <c r="Q42" i="14"/>
  <c r="S17" i="18"/>
  <c r="E42"/>
  <c r="S42"/>
  <c r="D42"/>
  <c r="R42"/>
  <c r="C42"/>
  <c r="Q42"/>
</calcChain>
</file>

<file path=xl/comments1.xml><?xml version="1.0" encoding="utf-8"?>
<comments xmlns="http://schemas.openxmlformats.org/spreadsheetml/2006/main">
  <authors>
    <author>hp</author>
  </authors>
  <commentList>
    <comment ref="P11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TGR based</t>
        </r>
      </text>
    </comment>
    <comment ref="P13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TGR based</t>
        </r>
      </text>
    </comment>
    <comment ref="P14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TGR based</t>
        </r>
      </text>
    </comment>
    <comment ref="P15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TGR based</t>
        </r>
      </text>
    </comment>
    <comment ref="P16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TGR based</t>
        </r>
      </text>
    </comment>
    <comment ref="P23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TGR based</t>
        </r>
      </text>
    </comment>
    <comment ref="P24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TGR based</t>
        </r>
      </text>
    </comment>
    <comment ref="P28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TGR based</t>
        </r>
      </text>
    </comment>
    <comment ref="P30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TGR based</t>
        </r>
      </text>
    </comment>
    <comment ref="P40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TGR based</t>
        </r>
      </text>
    </comment>
    <comment ref="P41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TGR Based</t>
        </r>
      </text>
    </comment>
  </commentList>
</comments>
</file>

<file path=xl/comments10.xml><?xml version="1.0" encoding="utf-8"?>
<comments xmlns="http://schemas.openxmlformats.org/spreadsheetml/2006/main">
  <authors>
    <author>hp</author>
    <author xml:space="preserve"> </author>
    <author>pcuser</author>
  </authors>
  <commentList>
    <comment ref="P10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TGR based</t>
        </r>
      </text>
    </comment>
    <comment ref="P12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TGR based</t>
        </r>
      </text>
    </comment>
    <comment ref="P13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TGR based</t>
        </r>
      </text>
    </comment>
    <comment ref="P14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TGR based</t>
        </r>
      </text>
    </comment>
    <comment ref="P15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TGR based</t>
        </r>
      </text>
    </comment>
    <comment ref="F22" authorId="1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RBI</t>
        </r>
      </text>
    </comment>
    <comment ref="G22" authorId="1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  <comment ref="I22" authorId="2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P22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TGR based</t>
        </r>
      </text>
    </comment>
    <comment ref="F23" authorId="1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RBI</t>
        </r>
      </text>
    </comment>
    <comment ref="G23" authorId="1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  <comment ref="I23" authorId="2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RBI</t>
        </r>
      </text>
    </comment>
    <comment ref="P23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TGR based</t>
        </r>
      </text>
    </comment>
    <comment ref="H24" authorId="1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  <comment ref="I24" authorId="2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RBI</t>
        </r>
      </text>
    </comment>
    <comment ref="H27" authorId="2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BE</t>
        </r>
      </text>
    </comment>
    <comment ref="I27" authorId="2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Est.</t>
        </r>
      </text>
    </comment>
    <comment ref="P27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TGR based</t>
        </r>
      </text>
    </comment>
    <comment ref="I29" authorId="2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P29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TGR based</t>
        </r>
      </text>
    </comment>
    <comment ref="I33" authorId="2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H34" authorId="1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I34" authorId="2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</commentList>
</comments>
</file>

<file path=xl/comments11.xml><?xml version="1.0" encoding="utf-8"?>
<comments xmlns="http://schemas.openxmlformats.org/spreadsheetml/2006/main">
  <authors>
    <author xml:space="preserve"> </author>
    <author>pcuser</author>
  </authors>
  <commentList>
    <comment ref="G9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  <comment ref="G22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  <comment ref="I22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G23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  <comment ref="I23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RBI</t>
        </r>
      </text>
    </comment>
    <comment ref="H24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I24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H27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BE</t>
        </r>
      </text>
    </comment>
    <comment ref="I27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Est.</t>
        </r>
      </text>
    </comment>
    <comment ref="I29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I33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H34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I34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</commentList>
</comments>
</file>

<file path=xl/comments12.xml><?xml version="1.0" encoding="utf-8"?>
<comments xmlns="http://schemas.openxmlformats.org/spreadsheetml/2006/main">
  <authors>
    <author xml:space="preserve"> </author>
    <author>pcuser</author>
  </authors>
  <commentList>
    <comment ref="F2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RBI</t>
        </r>
      </text>
    </comment>
    <comment ref="G22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  <comment ref="I22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M2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RBI</t>
        </r>
      </text>
    </comment>
    <comment ref="N2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O22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RBI</t>
        </r>
      </text>
    </comment>
    <comment ref="P22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F23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RBI</t>
        </r>
      </text>
    </comment>
    <comment ref="G23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  <comment ref="I23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M23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RBI</t>
        </r>
      </text>
    </comment>
    <comment ref="N23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O23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RBI</t>
        </r>
      </text>
    </comment>
    <comment ref="P23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H24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  <comment ref="I24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O24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  <comment ref="P24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H27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BE</t>
        </r>
      </text>
    </comment>
    <comment ref="I27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Est.</t>
        </r>
      </text>
    </comment>
    <comment ref="O27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BE</t>
        </r>
      </text>
    </comment>
    <comment ref="P27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Est.</t>
        </r>
      </text>
    </comment>
    <comment ref="I29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P29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I33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P33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H34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I34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O34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P34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</commentList>
</comments>
</file>

<file path=xl/comments13.xml><?xml version="1.0" encoding="utf-8"?>
<comments xmlns="http://schemas.openxmlformats.org/spreadsheetml/2006/main">
  <authors>
    <author xml:space="preserve"> </author>
    <author>pcuser</author>
  </authors>
  <commentList>
    <comment ref="F2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RBI</t>
        </r>
      </text>
    </comment>
    <comment ref="G2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I22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F23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RBI</t>
        </r>
      </text>
    </comment>
    <comment ref="G23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I23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I24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H27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BE</t>
        </r>
      </text>
    </comment>
    <comment ref="I27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Est.</t>
        </r>
      </text>
    </comment>
    <comment ref="I29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I33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H34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</commentList>
</comments>
</file>

<file path=xl/comments14.xml><?xml version="1.0" encoding="utf-8"?>
<comments xmlns="http://schemas.openxmlformats.org/spreadsheetml/2006/main">
  <authors>
    <author>pc</author>
    <author xml:space="preserve"> </author>
    <author>pcuser</author>
  </authors>
  <commentList>
    <comment ref="R16" authorId="0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F22" authorId="1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RBI</t>
        </r>
      </text>
    </comment>
    <comment ref="G22" authorId="1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  <comment ref="I22" authorId="2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F23" authorId="1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RBI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I23" authorId="2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H24" authorId="1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  <comment ref="I24" authorId="2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H27" authorId="2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BE</t>
        </r>
      </text>
    </comment>
    <comment ref="I27" authorId="2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Est.</t>
        </r>
      </text>
    </comment>
    <comment ref="I29" authorId="2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I33" authorId="2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H34" authorId="1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</commentList>
</comments>
</file>

<file path=xl/comments15.xml><?xml version="1.0" encoding="utf-8"?>
<comments xmlns="http://schemas.openxmlformats.org/spreadsheetml/2006/main">
  <authors>
    <author xml:space="preserve"> </author>
    <author>pcuser</author>
  </authors>
  <commentList>
    <comment ref="F2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RBI</t>
        </r>
      </text>
    </comment>
    <comment ref="G2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I22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F23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RBI</t>
        </r>
      </text>
    </comment>
    <comment ref="G23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I23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I24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I25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H27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BE</t>
        </r>
      </text>
    </comment>
    <comment ref="I27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Est.</t>
        </r>
      </text>
    </comment>
    <comment ref="I29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I33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H34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</commentList>
</comments>
</file>

<file path=xl/comments16.xml><?xml version="1.0" encoding="utf-8"?>
<comments xmlns="http://schemas.openxmlformats.org/spreadsheetml/2006/main">
  <authors>
    <author>hajong</author>
    <author xml:space="preserve"> </author>
    <author>pcuser</author>
  </authors>
  <commentList>
    <comment ref="F22" authorId="0">
      <text>
        <r>
          <rPr>
            <b/>
            <sz val="9"/>
            <color indexed="81"/>
            <rFont val="Tahoma"/>
            <charset val="1"/>
          </rPr>
          <t>hajong:</t>
        </r>
        <r>
          <rPr>
            <sz val="9"/>
            <color indexed="81"/>
            <rFont val="Tahoma"/>
            <charset val="1"/>
          </rPr>
          <t xml:space="preserve">
Pre. Actual</t>
        </r>
      </text>
    </comment>
    <comment ref="G22" authorId="0">
      <text>
        <r>
          <rPr>
            <b/>
            <sz val="9"/>
            <color indexed="81"/>
            <rFont val="Tahoma"/>
            <charset val="1"/>
          </rPr>
          <t>hajong:</t>
        </r>
        <r>
          <rPr>
            <sz val="9"/>
            <color indexed="81"/>
            <rFont val="Tahoma"/>
            <charset val="1"/>
          </rPr>
          <t xml:space="preserve">
LE</t>
        </r>
      </text>
    </comment>
    <comment ref="H22" authorId="0">
      <text>
        <r>
          <rPr>
            <b/>
            <sz val="9"/>
            <color indexed="81"/>
            <rFont val="Tahoma"/>
            <charset val="1"/>
          </rPr>
          <t>hajong:</t>
        </r>
        <r>
          <rPr>
            <sz val="9"/>
            <color indexed="81"/>
            <rFont val="Tahoma"/>
            <charset val="1"/>
          </rPr>
          <t xml:space="preserve">
Est.</t>
        </r>
      </text>
    </comment>
    <comment ref="M22" authorId="1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RBI</t>
        </r>
      </text>
    </comment>
    <comment ref="P22" authorId="2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RBI</t>
        </r>
      </text>
    </comment>
    <comment ref="H23" authorId="0">
      <text>
        <r>
          <rPr>
            <b/>
            <sz val="9"/>
            <color indexed="81"/>
            <rFont val="Tahoma"/>
            <family val="2"/>
          </rPr>
          <t>hajong:</t>
        </r>
        <r>
          <rPr>
            <sz val="9"/>
            <color indexed="81"/>
            <rFont val="Tahoma"/>
            <family val="2"/>
          </rPr>
          <t xml:space="preserve">
RE</t>
        </r>
      </text>
    </comment>
    <comment ref="I23" authorId="2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O23" authorId="0">
      <text>
        <r>
          <rPr>
            <b/>
            <sz val="9"/>
            <color indexed="81"/>
            <rFont val="Tahoma"/>
            <family val="2"/>
          </rPr>
          <t>hajong:</t>
        </r>
        <r>
          <rPr>
            <sz val="9"/>
            <color indexed="81"/>
            <rFont val="Tahoma"/>
            <family val="2"/>
          </rPr>
          <t xml:space="preserve">
RE</t>
        </r>
      </text>
    </comment>
    <comment ref="P23" authorId="2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Est.</t>
        </r>
      </text>
    </comment>
    <comment ref="I24" authorId="2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P24" authorId="2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Est.</t>
        </r>
      </text>
    </comment>
    <comment ref="H27" authorId="2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BE</t>
        </r>
      </text>
    </comment>
    <comment ref="I27" authorId="2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Est.</t>
        </r>
      </text>
    </comment>
    <comment ref="O27" authorId="2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BE</t>
        </r>
      </text>
    </comment>
    <comment ref="P27" authorId="2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RE</t>
        </r>
      </text>
    </comment>
    <comment ref="I29" authorId="2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P29" authorId="2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Est.</t>
        </r>
      </text>
    </comment>
    <comment ref="I33" authorId="2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P33" authorId="2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Est.</t>
        </r>
      </text>
    </comment>
    <comment ref="H34" authorId="1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O34" authorId="1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</commentList>
</comments>
</file>

<file path=xl/comments17.xml><?xml version="1.0" encoding="utf-8"?>
<comments xmlns="http://schemas.openxmlformats.org/spreadsheetml/2006/main">
  <authors>
    <author>pcuser</author>
    <author xml:space="preserve"> </author>
  </authors>
  <commentList>
    <comment ref="I23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H24" authorId="1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I24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O24" authorId="1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BE</t>
        </r>
      </text>
    </comment>
    <comment ref="I27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Est.</t>
        </r>
      </text>
    </comment>
    <comment ref="I29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I33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H34" authorId="1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</commentList>
</comments>
</file>

<file path=xl/comments18.xml><?xml version="1.0" encoding="utf-8"?>
<comments xmlns="http://schemas.openxmlformats.org/spreadsheetml/2006/main">
  <authors>
    <author>pcuser</author>
    <author xml:space="preserve"> </author>
    <author>hajong</author>
  </authors>
  <commentList>
    <comment ref="I22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M22" authorId="1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RBI</t>
        </r>
      </text>
    </comment>
    <comment ref="N22" authorId="1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P22" authorId="0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RBI</t>
        </r>
      </text>
    </comment>
    <comment ref="I23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O23" authorId="2">
      <text>
        <r>
          <rPr>
            <b/>
            <sz val="9"/>
            <color indexed="81"/>
            <rFont val="Tahoma"/>
            <family val="2"/>
          </rPr>
          <t>hajong:</t>
        </r>
        <r>
          <rPr>
            <sz val="9"/>
            <color indexed="81"/>
            <rFont val="Tahoma"/>
            <family val="2"/>
          </rPr>
          <t xml:space="preserve">
RE</t>
        </r>
      </text>
    </comment>
    <comment ref="H24" authorId="1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I24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O24" authorId="1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Q24" authorId="1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BE</t>
        </r>
      </text>
    </comment>
    <comment ref="I27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Est.</t>
        </r>
      </text>
    </comment>
    <comment ref="O27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BE</t>
        </r>
      </text>
    </comment>
    <comment ref="P27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RE</t>
        </r>
      </text>
    </comment>
    <comment ref="I29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P29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Est.</t>
        </r>
      </text>
    </comment>
    <comment ref="I33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P33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Est.</t>
        </r>
      </text>
    </comment>
    <comment ref="H34" authorId="1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O34" authorId="1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</commentList>
</comments>
</file>

<file path=xl/comments19.xml><?xml version="1.0" encoding="utf-8"?>
<comments xmlns="http://schemas.openxmlformats.org/spreadsheetml/2006/main">
  <authors>
    <author xml:space="preserve"> </author>
  </authors>
  <commentList>
    <comment ref="H24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H34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</commentList>
</comments>
</file>

<file path=xl/comments2.xml><?xml version="1.0" encoding="utf-8"?>
<comments xmlns="http://schemas.openxmlformats.org/spreadsheetml/2006/main">
  <authors>
    <author xml:space="preserve"> Planning Commission</author>
    <author>hajong</author>
  </authors>
  <commentList>
    <comment ref="D8" authorId="0">
      <text>
        <r>
          <rPr>
            <b/>
            <sz val="8"/>
            <color indexed="81"/>
            <rFont val="Tahoma"/>
          </rPr>
          <t xml:space="preserve"> Planning Commission:</t>
        </r>
        <r>
          <rPr>
            <sz val="8"/>
            <color indexed="81"/>
            <rFont val="Tahoma"/>
          </rPr>
          <t xml:space="preserve">
State has shown only Rs.5841.89 crore</t>
        </r>
      </text>
    </comment>
    <comment ref="G10" authorId="1">
      <text>
        <r>
          <rPr>
            <b/>
            <sz val="9"/>
            <color indexed="81"/>
            <rFont val="Tahoma"/>
            <charset val="1"/>
          </rPr>
          <t>hajong:</t>
        </r>
        <r>
          <rPr>
            <sz val="9"/>
            <color indexed="81"/>
            <rFont val="Tahoma"/>
            <charset val="1"/>
          </rPr>
          <t xml:space="preserve">
Pre. Actual</t>
        </r>
      </text>
    </comment>
    <comment ref="G13" authorId="1">
      <text>
        <r>
          <rPr>
            <b/>
            <sz val="9"/>
            <color indexed="81"/>
            <rFont val="Tahoma"/>
            <family val="2"/>
          </rPr>
          <t>hajong:</t>
        </r>
        <r>
          <rPr>
            <sz val="9"/>
            <color indexed="81"/>
            <rFont val="Tahoma"/>
            <family val="2"/>
          </rPr>
          <t xml:space="preserve">
Pre. Actual</t>
        </r>
      </text>
    </comment>
    <comment ref="G14" authorId="1">
      <text>
        <r>
          <rPr>
            <b/>
            <sz val="9"/>
            <color indexed="81"/>
            <rFont val="Tahoma"/>
            <family val="2"/>
          </rPr>
          <t>hajong:</t>
        </r>
        <r>
          <rPr>
            <sz val="9"/>
            <color indexed="81"/>
            <rFont val="Tahoma"/>
            <family val="2"/>
          </rPr>
          <t xml:space="preserve">
Pre.Actual</t>
        </r>
      </text>
    </comment>
    <comment ref="G15" authorId="1">
      <text>
        <r>
          <rPr>
            <b/>
            <sz val="9"/>
            <color indexed="81"/>
            <rFont val="Tahoma"/>
            <family val="2"/>
          </rPr>
          <t>hajong:</t>
        </r>
        <r>
          <rPr>
            <sz val="9"/>
            <color indexed="81"/>
            <rFont val="Tahoma"/>
            <family val="2"/>
          </rPr>
          <t xml:space="preserve">
Pre. Actaul</t>
        </r>
      </text>
    </comment>
    <comment ref="G16" authorId="1">
      <text>
        <r>
          <rPr>
            <b/>
            <sz val="9"/>
            <color indexed="81"/>
            <rFont val="Tahoma"/>
            <family val="2"/>
          </rPr>
          <t>hajong:</t>
        </r>
        <r>
          <rPr>
            <sz val="9"/>
            <color indexed="81"/>
            <rFont val="Tahoma"/>
            <family val="2"/>
          </rPr>
          <t xml:space="preserve">
Pre. Actual</t>
        </r>
      </text>
    </comment>
    <comment ref="G20" authorId="1">
      <text>
        <r>
          <rPr>
            <b/>
            <sz val="9"/>
            <color indexed="81"/>
            <rFont val="Tahoma"/>
            <family val="2"/>
          </rPr>
          <t>hajong:</t>
        </r>
        <r>
          <rPr>
            <sz val="9"/>
            <color indexed="81"/>
            <rFont val="Tahoma"/>
            <family val="2"/>
          </rPr>
          <t xml:space="preserve">
AP</t>
        </r>
      </text>
    </comment>
    <comment ref="G21" authorId="1">
      <text>
        <r>
          <rPr>
            <b/>
            <sz val="9"/>
            <color indexed="81"/>
            <rFont val="Tahoma"/>
            <family val="2"/>
          </rPr>
          <t>hajong:</t>
        </r>
        <r>
          <rPr>
            <sz val="9"/>
            <color indexed="81"/>
            <rFont val="Tahoma"/>
            <family val="2"/>
          </rPr>
          <t xml:space="preserve">
AP</t>
        </r>
      </text>
    </comment>
    <comment ref="G25" authorId="1">
      <text>
        <r>
          <rPr>
            <b/>
            <sz val="9"/>
            <color indexed="81"/>
            <rFont val="Tahoma"/>
            <family val="2"/>
          </rPr>
          <t>hajong:</t>
        </r>
        <r>
          <rPr>
            <sz val="9"/>
            <color indexed="81"/>
            <rFont val="Tahoma"/>
            <family val="2"/>
          </rPr>
          <t xml:space="preserve">
AP</t>
        </r>
      </text>
    </comment>
    <comment ref="G28" authorId="1">
      <text>
        <r>
          <rPr>
            <b/>
            <sz val="9"/>
            <color indexed="81"/>
            <rFont val="Tahoma"/>
            <charset val="1"/>
          </rPr>
          <t>hajong:</t>
        </r>
        <r>
          <rPr>
            <sz val="9"/>
            <color indexed="81"/>
            <rFont val="Tahoma"/>
            <charset val="1"/>
          </rPr>
          <t xml:space="preserve">
AP</t>
        </r>
      </text>
    </comment>
    <comment ref="G29" authorId="1">
      <text>
        <r>
          <rPr>
            <b/>
            <sz val="9"/>
            <color indexed="81"/>
            <rFont val="Tahoma"/>
            <charset val="1"/>
          </rPr>
          <t>hajong:</t>
        </r>
        <r>
          <rPr>
            <sz val="9"/>
            <color indexed="81"/>
            <rFont val="Tahoma"/>
            <charset val="1"/>
          </rPr>
          <t xml:space="preserve">
LE</t>
        </r>
      </text>
    </comment>
    <comment ref="G30" authorId="1">
      <text>
        <r>
          <rPr>
            <b/>
            <sz val="9"/>
            <color indexed="81"/>
            <rFont val="Tahoma"/>
            <charset val="1"/>
          </rPr>
          <t>hajong:</t>
        </r>
        <r>
          <rPr>
            <sz val="9"/>
            <color indexed="81"/>
            <rFont val="Tahoma"/>
            <charset val="1"/>
          </rPr>
          <t xml:space="preserve">
RE</t>
        </r>
      </text>
    </comment>
    <comment ref="G31" authorId="1">
      <text>
        <r>
          <rPr>
            <b/>
            <sz val="9"/>
            <color indexed="81"/>
            <rFont val="Tahoma"/>
            <family val="2"/>
          </rPr>
          <t>hajong:</t>
        </r>
        <r>
          <rPr>
            <sz val="9"/>
            <color indexed="81"/>
            <rFont val="Tahoma"/>
            <family val="2"/>
          </rPr>
          <t xml:space="preserve">
AP</t>
        </r>
      </text>
    </comment>
    <comment ref="G32" authorId="1">
      <text>
        <r>
          <rPr>
            <b/>
            <sz val="9"/>
            <color indexed="81"/>
            <rFont val="Tahoma"/>
            <family val="2"/>
          </rPr>
          <t>hajong:</t>
        </r>
        <r>
          <rPr>
            <sz val="9"/>
            <color indexed="81"/>
            <rFont val="Tahoma"/>
            <family val="2"/>
          </rPr>
          <t xml:space="preserve">
AP</t>
        </r>
      </text>
    </comment>
    <comment ref="G33" authorId="1">
      <text>
        <r>
          <rPr>
            <b/>
            <sz val="9"/>
            <color indexed="81"/>
            <rFont val="Tahoma"/>
            <family val="2"/>
          </rPr>
          <t>hajong:</t>
        </r>
        <r>
          <rPr>
            <sz val="9"/>
            <color indexed="81"/>
            <rFont val="Tahoma"/>
            <family val="2"/>
          </rPr>
          <t xml:space="preserve">
AP</t>
        </r>
      </text>
    </comment>
    <comment ref="G34" authorId="1">
      <text>
        <r>
          <rPr>
            <b/>
            <sz val="9"/>
            <color indexed="81"/>
            <rFont val="Tahoma"/>
            <family val="2"/>
          </rPr>
          <t>hajong:</t>
        </r>
        <r>
          <rPr>
            <sz val="9"/>
            <color indexed="81"/>
            <rFont val="Tahoma"/>
            <family val="2"/>
          </rPr>
          <t xml:space="preserve">
Pre. Actual</t>
        </r>
      </text>
    </comment>
    <comment ref="G36" authorId="1">
      <text>
        <r>
          <rPr>
            <b/>
            <sz val="9"/>
            <color indexed="81"/>
            <rFont val="Tahoma"/>
            <family val="2"/>
          </rPr>
          <t>hajong:</t>
        </r>
        <r>
          <rPr>
            <sz val="9"/>
            <color indexed="81"/>
            <rFont val="Tahoma"/>
            <family val="2"/>
          </rPr>
          <t xml:space="preserve">
AP</t>
        </r>
      </text>
    </comment>
    <comment ref="G41" authorId="1">
      <text>
        <r>
          <rPr>
            <b/>
            <sz val="9"/>
            <color indexed="81"/>
            <rFont val="Tahoma"/>
            <family val="2"/>
          </rPr>
          <t>hajong:</t>
        </r>
        <r>
          <rPr>
            <sz val="9"/>
            <color indexed="81"/>
            <rFont val="Tahoma"/>
            <family val="2"/>
          </rPr>
          <t xml:space="preserve">
AP</t>
        </r>
      </text>
    </comment>
  </commentList>
</comments>
</file>

<file path=xl/comments20.xml><?xml version="1.0" encoding="utf-8"?>
<comments xmlns="http://schemas.openxmlformats.org/spreadsheetml/2006/main">
  <authors>
    <author xml:space="preserve"> </author>
  </authors>
  <commentList>
    <comment ref="H24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</commentList>
</comments>
</file>

<file path=xl/comments21.xml><?xml version="1.0" encoding="utf-8"?>
<comments xmlns="http://schemas.openxmlformats.org/spreadsheetml/2006/main">
  <authors>
    <author xml:space="preserve"> </author>
  </authors>
  <commentList>
    <comment ref="H24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H34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</commentList>
</comments>
</file>

<file path=xl/comments22.xml><?xml version="1.0" encoding="utf-8"?>
<comments xmlns="http://schemas.openxmlformats.org/spreadsheetml/2006/main">
  <authors>
    <author>hp</author>
    <author xml:space="preserve"> </author>
  </authors>
  <commentList>
    <comment ref="P10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Last year growth based</t>
        </r>
      </text>
    </comment>
    <comment ref="P12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Last year growth based</t>
        </r>
      </text>
    </comment>
    <comment ref="P13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Last year growth based</t>
        </r>
      </text>
    </comment>
    <comment ref="P14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Last year growth based</t>
        </r>
      </text>
    </comment>
    <comment ref="P15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Last year growth based</t>
        </r>
      </text>
    </comment>
    <comment ref="P22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Last year growth based</t>
        </r>
      </text>
    </comment>
    <comment ref="P23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Last year growth based</t>
        </r>
      </text>
    </comment>
    <comment ref="H24" authorId="1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P27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Last year growth based</t>
        </r>
      </text>
    </comment>
    <comment ref="P29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Last year growth based</t>
        </r>
      </text>
    </comment>
    <comment ref="H34" authorId="1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</commentList>
</comments>
</file>

<file path=xl/comments23.xml><?xml version="1.0" encoding="utf-8"?>
<comments xmlns="http://schemas.openxmlformats.org/spreadsheetml/2006/main">
  <authors>
    <author xml:space="preserve"> </author>
    <author>pcuser</author>
    <author>hajong</author>
  </authors>
  <commentList>
    <comment ref="F2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RBI</t>
        </r>
      </text>
    </comment>
    <comment ref="I22" authorId="1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RBI</t>
        </r>
      </text>
    </comment>
    <comment ref="H23" authorId="2">
      <text>
        <r>
          <rPr>
            <b/>
            <sz val="9"/>
            <color indexed="81"/>
            <rFont val="Tahoma"/>
            <family val="2"/>
          </rPr>
          <t>hajong:</t>
        </r>
        <r>
          <rPr>
            <sz val="9"/>
            <color indexed="81"/>
            <rFont val="Tahoma"/>
            <family val="2"/>
          </rPr>
          <t xml:space="preserve">
RE</t>
        </r>
      </text>
    </comment>
    <comment ref="H24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H27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BE</t>
        </r>
      </text>
    </comment>
    <comment ref="I27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RE</t>
        </r>
      </text>
    </comment>
    <comment ref="I29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Est.</t>
        </r>
      </text>
    </comment>
    <comment ref="I33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Est.</t>
        </r>
      </text>
    </comment>
    <comment ref="H34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</commentList>
</comments>
</file>

<file path=xl/comments24.xml><?xml version="1.0" encoding="utf-8"?>
<comments xmlns="http://schemas.openxmlformats.org/spreadsheetml/2006/main">
  <authors>
    <author>pcuser</author>
    <author xml:space="preserve"> </author>
  </authors>
  <commentList>
    <comment ref="R16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2008-09(RE)</t>
        </r>
      </text>
    </comment>
    <comment ref="H24" authorId="1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H34" authorId="1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</commentList>
</comments>
</file>

<file path=xl/comments25.xml><?xml version="1.0" encoding="utf-8"?>
<comments xmlns="http://schemas.openxmlformats.org/spreadsheetml/2006/main">
  <authors>
    <author xml:space="preserve"> </author>
  </authors>
  <commentList>
    <comment ref="H24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H34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</commentList>
</comments>
</file>

<file path=xl/comments26.xml><?xml version="1.0" encoding="utf-8"?>
<comments xmlns="http://schemas.openxmlformats.org/spreadsheetml/2006/main">
  <authors>
    <author>hajong</author>
    <author>pcuser</author>
    <author xml:space="preserve"> </author>
  </authors>
  <commentList>
    <comment ref="G22" authorId="0">
      <text>
        <r>
          <rPr>
            <b/>
            <sz val="9"/>
            <color indexed="81"/>
            <rFont val="Tahoma"/>
            <family val="2"/>
          </rPr>
          <t>hajong:</t>
        </r>
        <r>
          <rPr>
            <sz val="9"/>
            <color indexed="81"/>
            <rFont val="Tahoma"/>
            <family val="2"/>
          </rPr>
          <t xml:space="preserve">
LE</t>
        </r>
      </text>
    </comment>
    <comment ref="H22" authorId="0">
      <text>
        <r>
          <rPr>
            <b/>
            <sz val="9"/>
            <color indexed="81"/>
            <rFont val="Tahoma"/>
            <family val="2"/>
          </rPr>
          <t>hajong:</t>
        </r>
        <r>
          <rPr>
            <sz val="9"/>
            <color indexed="81"/>
            <rFont val="Tahoma"/>
            <family val="2"/>
          </rPr>
          <t xml:space="preserve">
Est.</t>
        </r>
      </text>
    </comment>
    <comment ref="I22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RBI</t>
        </r>
      </text>
    </comment>
    <comment ref="N22" authorId="0">
      <text>
        <r>
          <rPr>
            <b/>
            <sz val="9"/>
            <color indexed="81"/>
            <rFont val="Tahoma"/>
            <family val="2"/>
          </rPr>
          <t>hajong:</t>
        </r>
        <r>
          <rPr>
            <sz val="9"/>
            <color indexed="81"/>
            <rFont val="Tahoma"/>
            <family val="2"/>
          </rPr>
          <t xml:space="preserve">
LE</t>
        </r>
      </text>
    </comment>
    <comment ref="O22" authorId="0">
      <text>
        <r>
          <rPr>
            <b/>
            <sz val="9"/>
            <color indexed="81"/>
            <rFont val="Tahoma"/>
            <family val="2"/>
          </rPr>
          <t>hajong:</t>
        </r>
        <r>
          <rPr>
            <sz val="9"/>
            <color indexed="81"/>
            <rFont val="Tahoma"/>
            <family val="2"/>
          </rPr>
          <t xml:space="preserve">
Est.</t>
        </r>
      </text>
    </comment>
    <comment ref="P22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H23" authorId="0">
      <text>
        <r>
          <rPr>
            <b/>
            <sz val="9"/>
            <color indexed="81"/>
            <rFont val="Tahoma"/>
            <family val="2"/>
          </rPr>
          <t>hajong:</t>
        </r>
        <r>
          <rPr>
            <sz val="9"/>
            <color indexed="81"/>
            <rFont val="Tahoma"/>
            <family val="2"/>
          </rPr>
          <t xml:space="preserve">
RE</t>
        </r>
      </text>
    </comment>
    <comment ref="I23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RBI</t>
        </r>
      </text>
    </comment>
    <comment ref="O23" authorId="0">
      <text>
        <r>
          <rPr>
            <b/>
            <sz val="9"/>
            <color indexed="81"/>
            <rFont val="Tahoma"/>
            <family val="2"/>
          </rPr>
          <t>hajong:</t>
        </r>
        <r>
          <rPr>
            <sz val="9"/>
            <color indexed="81"/>
            <rFont val="Tahoma"/>
            <family val="2"/>
          </rPr>
          <t xml:space="preserve">
RE</t>
        </r>
      </text>
    </comment>
    <comment ref="P23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H24" authorId="2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I24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O24" authorId="2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P24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H27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BE</t>
        </r>
      </text>
    </comment>
    <comment ref="I27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Est.</t>
        </r>
      </text>
    </comment>
    <comment ref="O27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BE</t>
        </r>
      </text>
    </comment>
    <comment ref="P27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Est.</t>
        </r>
      </text>
    </comment>
    <comment ref="I29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P29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I33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P33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H34" authorId="2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I34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  <comment ref="O34" authorId="2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P34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FROM RBI</t>
        </r>
      </text>
    </comment>
  </commentList>
</comments>
</file>

<file path=xl/comments3.xml><?xml version="1.0" encoding="utf-8"?>
<comments xmlns="http://schemas.openxmlformats.org/spreadsheetml/2006/main">
  <authors>
    <author xml:space="preserve"> Planning Commission</author>
    <author>hp</author>
  </authors>
  <commentList>
    <comment ref="E7" authorId="0">
      <text>
        <r>
          <rPr>
            <b/>
            <sz val="8"/>
            <color indexed="81"/>
            <rFont val="Tahoma"/>
          </rPr>
          <t xml:space="preserve"> Planning Commission:</t>
        </r>
        <r>
          <rPr>
            <sz val="8"/>
            <color indexed="81"/>
            <rFont val="Tahoma"/>
          </rPr>
          <t xml:space="preserve">
State has shown only Rs.5841.89 crore</t>
        </r>
      </text>
    </comment>
    <comment ref="Q10" authorId="1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TGR based</t>
        </r>
      </text>
    </comment>
    <comment ref="Q12" authorId="1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TGR based</t>
        </r>
      </text>
    </comment>
    <comment ref="Q13" authorId="1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TGR based</t>
        </r>
      </text>
    </comment>
    <comment ref="Q14" authorId="1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TGR based</t>
        </r>
      </text>
    </comment>
    <comment ref="Q15" authorId="1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TGR based</t>
        </r>
      </text>
    </comment>
    <comment ref="Q22" authorId="1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TGR based</t>
        </r>
      </text>
    </comment>
    <comment ref="Q23" authorId="1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TGR based</t>
        </r>
      </text>
    </comment>
    <comment ref="Q27" authorId="1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TGR based</t>
        </r>
      </text>
    </comment>
    <comment ref="Q29" authorId="1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TGR based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</authors>
  <commentList>
    <comment ref="E16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  <comment ref="F26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  <comment ref="F28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  <comment ref="F31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F39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</commentList>
</comments>
</file>

<file path=xl/comments5.xml><?xml version="1.0" encoding="utf-8"?>
<comments xmlns="http://schemas.openxmlformats.org/spreadsheetml/2006/main">
  <authors>
    <author xml:space="preserve"> Planning Commission</author>
    <author>pcuser</author>
  </authors>
  <commentList>
    <comment ref="D8" authorId="0">
      <text>
        <r>
          <rPr>
            <b/>
            <sz val="8"/>
            <color indexed="81"/>
            <rFont val="Tahoma"/>
          </rPr>
          <t xml:space="preserve"> Planning Commission:</t>
        </r>
        <r>
          <rPr>
            <sz val="8"/>
            <color indexed="81"/>
            <rFont val="Tahoma"/>
          </rPr>
          <t xml:space="preserve">
State has shown only Rs.5841.89 crore</t>
        </r>
      </text>
    </comment>
    <comment ref="G8" authorId="1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Actual</t>
        </r>
      </text>
    </comment>
    <comment ref="H8" authorId="1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AP</t>
        </r>
      </text>
    </comment>
    <comment ref="G9" authorId="1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Acutal</t>
        </r>
      </text>
    </comment>
    <comment ref="G11" authorId="1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Actual</t>
        </r>
      </text>
    </comment>
    <comment ref="G12" authorId="1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Actual</t>
        </r>
      </text>
    </comment>
    <comment ref="G15" authorId="1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Actual</t>
        </r>
      </text>
    </comment>
    <comment ref="G17" authorId="1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Actual</t>
        </r>
      </text>
    </comment>
    <comment ref="G22" authorId="1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Actual</t>
        </r>
      </text>
    </comment>
    <comment ref="G23" authorId="1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Actul</t>
        </r>
      </text>
    </comment>
    <comment ref="H24" authorId="1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RE</t>
        </r>
      </text>
    </comment>
    <comment ref="G25" authorId="1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Pre. Actual</t>
        </r>
      </text>
    </comment>
    <comment ref="H25" authorId="1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RE</t>
        </r>
      </text>
    </comment>
    <comment ref="G26" authorId="1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Actual</t>
        </r>
      </text>
    </comment>
    <comment ref="G27" authorId="1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Actual</t>
        </r>
      </text>
    </comment>
    <comment ref="H27" authorId="1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RE</t>
        </r>
      </text>
    </comment>
    <comment ref="H30" authorId="1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RE</t>
        </r>
      </text>
    </comment>
    <comment ref="G35" authorId="1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Actual</t>
        </r>
      </text>
    </comment>
    <comment ref="H35" authorId="1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RE</t>
        </r>
      </text>
    </comment>
    <comment ref="G36" authorId="1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AP</t>
        </r>
      </text>
    </comment>
  </commentList>
</comments>
</file>

<file path=xl/comments6.xml><?xml version="1.0" encoding="utf-8"?>
<comments xmlns="http://schemas.openxmlformats.org/spreadsheetml/2006/main">
  <authors>
    <author>pcuser</author>
    <author xml:space="preserve"> </author>
  </authors>
  <commentList>
    <comment ref="G8" authorId="0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Actual</t>
        </r>
      </text>
    </comment>
    <comment ref="H8" authorId="0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AP</t>
        </r>
      </text>
    </comment>
    <comment ref="G9" authorId="0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ACTUAL</t>
        </r>
      </text>
    </comment>
    <comment ref="G11" authorId="0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ACTUAL</t>
        </r>
      </text>
    </comment>
    <comment ref="G12" authorId="0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ACTUAL</t>
        </r>
      </text>
    </comment>
    <comment ref="G15" authorId="0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ACTUAL</t>
        </r>
      </text>
    </comment>
    <comment ref="E17" authorId="1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  <comment ref="G17" authorId="0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ACTUAL</t>
        </r>
      </text>
    </comment>
    <comment ref="G22" authorId="0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ACTUAL</t>
        </r>
      </text>
    </comment>
    <comment ref="G23" authorId="0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ACTUAL</t>
        </r>
      </text>
    </comment>
    <comment ref="G24" authorId="0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ACTUAL</t>
        </r>
      </text>
    </comment>
    <comment ref="H24" authorId="0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RE</t>
        </r>
      </text>
    </comment>
    <comment ref="H25" authorId="0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RE</t>
        </r>
      </text>
    </comment>
    <comment ref="G26" authorId="0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ACUTAL</t>
        </r>
      </text>
    </comment>
    <comment ref="F27" authorId="1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  <comment ref="G27" authorId="0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ACTUAL</t>
        </r>
      </text>
    </comment>
    <comment ref="H27" authorId="0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RE</t>
        </r>
      </text>
    </comment>
    <comment ref="F29" authorId="1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  <comment ref="H30" authorId="0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RE</t>
        </r>
      </text>
    </comment>
    <comment ref="G31" authorId="0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ACTUAL</t>
        </r>
      </text>
    </comment>
    <comment ref="F32" authorId="1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  <comment ref="H32" authorId="0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RE</t>
        </r>
      </text>
    </comment>
    <comment ref="G35" authorId="0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ACTUAL</t>
        </r>
      </text>
    </comment>
    <comment ref="H35" authorId="0">
      <text>
        <r>
          <rPr>
            <b/>
            <sz val="9"/>
            <color indexed="81"/>
            <rFont val="Tahoma"/>
            <charset val="1"/>
          </rPr>
          <t>pcuser:</t>
        </r>
        <r>
          <rPr>
            <sz val="9"/>
            <color indexed="81"/>
            <rFont val="Tahoma"/>
            <charset val="1"/>
          </rPr>
          <t xml:space="preserve">
RE</t>
        </r>
      </text>
    </comment>
    <comment ref="F40" authorId="1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</commentList>
</comments>
</file>

<file path=xl/comments7.xml><?xml version="1.0" encoding="utf-8"?>
<comments xmlns="http://schemas.openxmlformats.org/spreadsheetml/2006/main">
  <authors>
    <author>pcuser</author>
    <author xml:space="preserve"> 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ACTUAL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ACTUAL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ACTUAL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ACTUAL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ACTUAL</t>
        </r>
      </text>
    </comment>
    <comment ref="E17" authorId="1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ACTUAL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ACTUAL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ACTUAL</t>
        </r>
      </text>
    </comment>
    <comment ref="H24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RE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RE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ACTUAL</t>
        </r>
      </text>
    </comment>
    <comment ref="F27" authorId="1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ACTUAL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RE</t>
        </r>
      </text>
    </comment>
    <comment ref="F29" authorId="1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  <comment ref="H30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RE</t>
        </r>
      </text>
    </comment>
    <comment ref="F32" authorId="1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  <comment ref="H32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RE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ACTUAL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RE</t>
        </r>
      </text>
    </comment>
    <comment ref="F40" authorId="1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</commentList>
</comments>
</file>

<file path=xl/comments8.xml><?xml version="1.0" encoding="utf-8"?>
<comments xmlns="http://schemas.openxmlformats.org/spreadsheetml/2006/main">
  <authors>
    <author>pcuser</author>
  </authors>
  <commentList>
    <comment ref="G17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ACTUAL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ACTUAL</t>
        </r>
      </text>
    </comment>
    <comment ref="H24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RE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ACTUAL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RE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ACTUAL</t>
        </r>
      </text>
    </comment>
    <comment ref="H32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RE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ACTUAL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RE</t>
        </r>
      </text>
    </comment>
  </commentList>
</comments>
</file>

<file path=xl/comments9.xml><?xml version="1.0" encoding="utf-8"?>
<comments xmlns="http://schemas.openxmlformats.org/spreadsheetml/2006/main">
  <authors>
    <author xml:space="preserve"> Planning Commission</author>
  </authors>
  <commentList>
    <comment ref="F12" authorId="0">
      <text>
        <r>
          <rPr>
            <b/>
            <sz val="8"/>
            <color indexed="81"/>
            <rFont val="Tahoma"/>
            <family val="2"/>
          </rPr>
          <t xml:space="preserve"> Planning Commission:</t>
        </r>
        <r>
          <rPr>
            <sz val="8"/>
            <color indexed="81"/>
            <rFont val="Tahoma"/>
            <family val="2"/>
          </rPr>
          <t xml:space="preserve">
Budget at a Glance page 17</t>
        </r>
      </text>
    </comment>
    <comment ref="A16" authorId="0">
      <text>
        <r>
          <rPr>
            <b/>
            <sz val="8"/>
            <color indexed="81"/>
            <rFont val="Tahoma"/>
            <family val="2"/>
          </rPr>
          <t xml:space="preserve"> Planning Commission:</t>
        </r>
        <r>
          <rPr>
            <sz val="8"/>
            <color indexed="81"/>
            <rFont val="Tahoma"/>
            <family val="2"/>
          </rPr>
          <t xml:space="preserve">
Source: Statement - 16</t>
        </r>
      </text>
    </comment>
  </commentList>
</comments>
</file>

<file path=xl/sharedStrings.xml><?xml version="1.0" encoding="utf-8"?>
<sst xmlns="http://schemas.openxmlformats.org/spreadsheetml/2006/main" count="2670" uniqueCount="324">
  <si>
    <t>Sl No.</t>
  </si>
  <si>
    <t>State</t>
  </si>
  <si>
    <t>PERCENTAGE TO GSDP</t>
  </si>
  <si>
    <t xml:space="preserve">2007-08 </t>
  </si>
  <si>
    <t xml:space="preserve">2008-09 </t>
  </si>
  <si>
    <t>2009-10</t>
  </si>
  <si>
    <t>2010-11</t>
  </si>
  <si>
    <t>2011-12</t>
  </si>
  <si>
    <t>Actual</t>
  </si>
  <si>
    <t>Pre. Actual</t>
  </si>
  <si>
    <t>BE</t>
  </si>
  <si>
    <t>Special Category States (SCS)</t>
  </si>
  <si>
    <t>Arunachal Pradesh</t>
  </si>
  <si>
    <t>Assam</t>
  </si>
  <si>
    <t>Himachal Pradesh</t>
  </si>
  <si>
    <t>J &amp; K</t>
  </si>
  <si>
    <t>Manipur</t>
  </si>
  <si>
    <t>Meghalaya</t>
  </si>
  <si>
    <t>Mizoram</t>
  </si>
  <si>
    <t>Nagaland</t>
  </si>
  <si>
    <t>Sikkim</t>
  </si>
  <si>
    <t>Tripura</t>
  </si>
  <si>
    <t>Uttarakhand</t>
  </si>
  <si>
    <t>Sub Total: SCS</t>
  </si>
  <si>
    <t>Non- Special Category States (NSCS)</t>
  </si>
  <si>
    <t>Andhra Pradesh</t>
  </si>
  <si>
    <t>Bihar</t>
  </si>
  <si>
    <t>Chhattisgarh</t>
  </si>
  <si>
    <t>Goa</t>
  </si>
  <si>
    <t>Gujarat</t>
  </si>
  <si>
    <t>Haryana</t>
  </si>
  <si>
    <t>Jharkhand</t>
  </si>
  <si>
    <t>Karnataka</t>
  </si>
  <si>
    <t>Kerala</t>
  </si>
  <si>
    <t>Madhya Pradesh</t>
  </si>
  <si>
    <t>Maharashtra</t>
  </si>
  <si>
    <t>Punjab</t>
  </si>
  <si>
    <t>Rajasthan</t>
  </si>
  <si>
    <t>Tamil Nadu</t>
  </si>
  <si>
    <t>Uttar Pradesh</t>
  </si>
  <si>
    <t>West Bengal</t>
  </si>
  <si>
    <t>Sub Total: NSCS</t>
  </si>
  <si>
    <t>Union Teritorries: With Legistatures</t>
  </si>
  <si>
    <t>Delhi</t>
  </si>
  <si>
    <t>Puducherry</t>
  </si>
  <si>
    <t>Sub Total:  UT.s</t>
  </si>
  <si>
    <t>Grand Total: All States &amp; Uts</t>
  </si>
  <si>
    <t>SL NO.</t>
  </si>
  <si>
    <t>2007-08</t>
  </si>
  <si>
    <t>2008-09</t>
  </si>
  <si>
    <t>Pre-Actual</t>
  </si>
  <si>
    <t xml:space="preserve">Arunachal Pradesh </t>
  </si>
  <si>
    <t>Jammu &amp; Kashmir</t>
  </si>
  <si>
    <t>Union Teritorries: With legislatures</t>
  </si>
  <si>
    <t>Sub Total: UT.s</t>
  </si>
  <si>
    <t>Sub Total:Uts</t>
  </si>
  <si>
    <t xml:space="preserve"> Pre-Actual</t>
  </si>
  <si>
    <t>Outstanding Liabilities (Rs. Crore)</t>
  </si>
  <si>
    <t>Outstanding Liabilities - % to GSDP</t>
  </si>
  <si>
    <t>2007-08 Actual</t>
  </si>
  <si>
    <t>2008-09 Actual</t>
  </si>
  <si>
    <t>2009-10 Actual</t>
  </si>
  <si>
    <t>Total: SCS</t>
  </si>
  <si>
    <t>Total: NSCS</t>
  </si>
  <si>
    <t>Total: UT.s</t>
  </si>
  <si>
    <t>Grand Total</t>
  </si>
  <si>
    <t xml:space="preserve"> BE</t>
  </si>
  <si>
    <t>Grand Total: All states &amp; Uts</t>
  </si>
  <si>
    <t>2008-09       Actual</t>
  </si>
  <si>
    <t>2009-10               Actual</t>
  </si>
  <si>
    <t>2007-08           Actual</t>
  </si>
  <si>
    <t>Sl. No.</t>
  </si>
  <si>
    <t>STATES</t>
  </si>
  <si>
    <t xml:space="preserve"> Actual</t>
  </si>
  <si>
    <t>Odisha</t>
  </si>
  <si>
    <t>Sub Total:  Uts</t>
  </si>
  <si>
    <t>PLAN EXPENDITURE - AS %AGE OF GSDP                                                    (IN PERCENT)</t>
  </si>
  <si>
    <t>1st March: RGI estimated</t>
  </si>
  <si>
    <t>Andhra</t>
  </si>
  <si>
    <t>Sub Total: Uts</t>
  </si>
  <si>
    <t>NON PLAN EXPENDITURE - AS %AGE OF GSDP                                                    (IN PERCENT)</t>
  </si>
  <si>
    <t>Population as on 1st March: RGI estimated</t>
  </si>
  <si>
    <t>TOTAL EXPENDITURE                                                                                            (Rs. Crore)</t>
  </si>
  <si>
    <t>OWN TAX REVENUES                                                                      (Rs. Crore)</t>
  </si>
  <si>
    <t>Rs. Crore</t>
  </si>
  <si>
    <t>States/UT.s</t>
  </si>
  <si>
    <t>All States</t>
  </si>
  <si>
    <r>
      <t xml:space="preserve">SALARY EXPENDITURE                                                                             </t>
    </r>
    <r>
      <rPr>
        <b/>
        <i/>
        <sz val="10"/>
        <rFont val="Tahoma"/>
        <family val="2"/>
      </rPr>
      <t>(AS %AGE OF PLAN EXPENDITURE)</t>
    </r>
  </si>
  <si>
    <t>Pension Payment</t>
  </si>
  <si>
    <t>Revenue Expenditure</t>
  </si>
  <si>
    <t>Source: (i) Social Sector Expenditure - Statement 46 of State Finances (RBI) &amp; (ii) Total Expenditure - Fiscal Indicators of the States/Uts</t>
  </si>
  <si>
    <t>NON PLAN EXPENDITURE                                                            (PERCENT TO GSDP)</t>
  </si>
  <si>
    <t>TABLE 15: OWN TAX REVENUE OF STATES &amp; UTS</t>
  </si>
  <si>
    <t>Table 16: OWN TAX REVENUES - STATE SHARE &amp;  PERCENT GSDP</t>
  </si>
  <si>
    <t>TABLE 17: INTEREST PAYMENT - AS %age of TOTAL REVENUE RECIEPTS - FOR STATES &amp; UTS</t>
  </si>
  <si>
    <t>TABLE 18: REVENUE DEFICIT (+)/ SURPLUS (-): as % of GSDP - FOR STATES &amp; UTS</t>
  </si>
  <si>
    <t>TABLE 19: FISCAL DEFICIT (+)/SURPLUS (-): as % of GSDP</t>
  </si>
  <si>
    <t>States/ Uts</t>
  </si>
  <si>
    <t>TABLE 20: OUTSTANDING LIABILITIES OF STATES &amp;UTS (As %age GSDP</t>
  </si>
  <si>
    <t>TABLE 21 : SALARY EXPENDITURE AS PERCENTAGE OF PLAN EXPENDITURE - STATES &amp; UTS</t>
  </si>
  <si>
    <t>Table 22: Salary Expenditure as %age of Revenue Expenditure (net of IP &amp; Pension) - States &amp; Uts</t>
  </si>
  <si>
    <t>TABLE 23 : SALARY EXPENDITURE AS PERCENTAGE OF TOTAL EXPENDITURE FOR STATES &amp; UTS</t>
  </si>
  <si>
    <t xml:space="preserve">TABLE 24: PUBIC EXPENDITURE RATIO (TOTAL EXPENDITURE/ GSDP) </t>
  </si>
  <si>
    <t>TABLE 25: SOCIAL ALLOCATION RATIO (SOCIAL SECTOR EXPENDITURE/ TOTAL EXPENDITURE))</t>
  </si>
  <si>
    <t>TABLE 26: PLAN EXPENDITURE AS %AGE OF GSDP</t>
  </si>
  <si>
    <t>TABLE 27: PER CAPITA PLAN EXPENDITURE</t>
  </si>
  <si>
    <t>TABLE 28: NON PLAN EXPENDITURE AS %AGE OF GSDP</t>
  </si>
  <si>
    <t>TABLE 29: PER CAPITA NON PLAN EXPENDITURE</t>
  </si>
  <si>
    <t>TABLE 30: PER CAPITA TOTAL EXPENDITURE</t>
  </si>
  <si>
    <t>TABLE 31: GSDP &amp; PER CAPITA STATE DOMESTIC PRODUCT (CURRENT PRICES)</t>
  </si>
  <si>
    <t>Table 32: COMMITTED EXPENDITURE OF THE STATES (SALARIES+PENSIONS+INTEREST PAYMENTS)</t>
  </si>
  <si>
    <t>SALARY EXPENDITURE AS PERCENTAGE OF REVENUE EXPENDITURE (Net of IP &amp; Pension)</t>
  </si>
  <si>
    <t>OWN TAX REVENUES                                                                          (As %age of GSDP)</t>
  </si>
  <si>
    <t>(CSO- as on 1.08.2012)</t>
  </si>
  <si>
    <t>Source: Fiscal Indicators of the State BoE of 2012-13</t>
  </si>
  <si>
    <t>State/"UT.s</t>
  </si>
  <si>
    <t>States/'UT.s</t>
  </si>
  <si>
    <t>State/ UT.s</t>
  </si>
  <si>
    <t>States/ UT.s</t>
  </si>
  <si>
    <t>Source: CSO 1.08.2012</t>
  </si>
  <si>
    <t>STATES/ UT.s</t>
  </si>
  <si>
    <t>Pension Payments &amp; Revenue Expenditure   (Rs.Crore)</t>
  </si>
  <si>
    <t>2012-13</t>
  </si>
  <si>
    <t>REVENUE DEFICIT                                                                                     (Rs. Crore)</t>
  </si>
  <si>
    <t>2010-11  Actual</t>
  </si>
  <si>
    <t>SALARY EXPENDITURE                                                                      (Rs. crore)</t>
  </si>
  <si>
    <t>SALARY EXPENDITURE                                                                                                              (Rs. Crore)</t>
  </si>
  <si>
    <t>2010-11  Acutal</t>
  </si>
  <si>
    <r>
      <t xml:space="preserve">SALARY EXPENDITURE                                                                              </t>
    </r>
    <r>
      <rPr>
        <b/>
        <i/>
        <sz val="10"/>
        <rFont val="Tahoma"/>
        <family val="2"/>
      </rPr>
      <t>(AS %AGE OF TOTAL EXPENDITURE)</t>
    </r>
  </si>
  <si>
    <t>SOCIAL SECTOR EXPENDITURE                                                           (Rs. Crore)</t>
  </si>
  <si>
    <t>PLAN EXPENDITURE                                                                   (Rs. Crore)</t>
  </si>
  <si>
    <t>POPULATION                                                                                 (In Crore)</t>
  </si>
  <si>
    <t xml:space="preserve">2011-12 </t>
  </si>
  <si>
    <t>RE</t>
  </si>
  <si>
    <t>TOTAL EXPENDITURE                                                                               (Rs. crore)</t>
  </si>
  <si>
    <t>SALARY EXPENDITURE                                                                                    (Rs. crore)</t>
  </si>
  <si>
    <t>TOTAL REVENUE RECIEPTS (TRR)                                                 (Rs. Crore)</t>
  </si>
  <si>
    <t>PUBLIC EXPENDITURE RATIO                                                                       (IN PERCENT)</t>
  </si>
  <si>
    <t>SOCIAL ALLOCATION RATIO                                                                        (IN PERCENT)</t>
  </si>
  <si>
    <t>2013-14</t>
  </si>
  <si>
    <t>OWN TAX REVENUE                                                                                                            (Rs. Crore)</t>
  </si>
  <si>
    <t>INDIVIDUAL STATE'S SHARE AMONG ALL INDIA                                                                    (IN PERCENT)</t>
  </si>
  <si>
    <t>INTEREST PAYMENTS                                                                                (Rs. Crore)</t>
  </si>
  <si>
    <t>INTEREST PAYMENT                                                                        (As %age of TRR)</t>
  </si>
  <si>
    <t>REVENUE DEFICIT                                                                                   (As %age of GSDP)</t>
  </si>
  <si>
    <t>FISCAL DEFICIT                                                                                                (Rs. Crore)</t>
  </si>
  <si>
    <t>FISCAL DEFICIT                                                                                         (As %age of GSDP)</t>
  </si>
  <si>
    <t xml:space="preserve">2009-10 </t>
  </si>
  <si>
    <t xml:space="preserve">2010-11 </t>
  </si>
  <si>
    <t xml:space="preserve">2011-12         </t>
  </si>
  <si>
    <t xml:space="preserve">2012-13 </t>
  </si>
  <si>
    <t xml:space="preserve">2010-11  </t>
  </si>
  <si>
    <t>PLAN EXPENDITURE                                                                                    (Rs. crore)</t>
  </si>
  <si>
    <t>2013-14 BE</t>
  </si>
  <si>
    <t>2012-13       Pre. Actual</t>
  </si>
  <si>
    <t>2011-12 Actual</t>
  </si>
  <si>
    <t>2012-13      Pre. Actual</t>
  </si>
  <si>
    <t>2011-12  Acutal</t>
  </si>
  <si>
    <t>REVENUE EXPENDITURE                                                                                                                                (NET OF INTEREST PAYMENT &amp; PENSION)                                                                       (Rs.Crore)</t>
  </si>
  <si>
    <t>2012-13     Pre. Actual</t>
  </si>
  <si>
    <t>TOTAL EXPENDITURE                                                                                         (Rs. Crore)</t>
  </si>
  <si>
    <t>TOTAL EXPENDITURE                                                                             (Rs. Crore)</t>
  </si>
  <si>
    <t>PER CAPITA PLAN EXPENDITURE                                                            (In Rupees)</t>
  </si>
  <si>
    <t>NON PLAN EXPENDITURE                                                                     (Rs. Crore)</t>
  </si>
  <si>
    <t>PER CAPITA NON PLAN EXPENDITURE                                                  (In RUPEES)</t>
  </si>
  <si>
    <t>POPULATION                                                                                           (In Crore)</t>
  </si>
  <si>
    <t>PER CAPITA TOTAL EXPENDITURE                                                       (In Rupees)</t>
  </si>
  <si>
    <t>POPULATION                                                                                                   (In Crore)</t>
  </si>
  <si>
    <t>PER CAPITA STATE DOMESTIC PRODUCT                                           (In Rupees)</t>
  </si>
  <si>
    <t>COMMITTED EXPENDITURE                                                                                     (Rs.Crore)</t>
  </si>
  <si>
    <t>POPULATION                                                                                                                      (In Crore)</t>
  </si>
  <si>
    <t>PER CAPITA COMMITTED EXPENDITURE                                                                         (In Rupees)</t>
  </si>
  <si>
    <t>2012-13 Pre. Actual</t>
  </si>
  <si>
    <t>2011-12  Actual</t>
  </si>
  <si>
    <t>Interest Payments</t>
  </si>
  <si>
    <t>Total Expenditure</t>
  </si>
  <si>
    <t>Plan Expenditure</t>
  </si>
  <si>
    <t>Non Plan Expenditure</t>
  </si>
  <si>
    <t>a</t>
  </si>
  <si>
    <t>b</t>
  </si>
  <si>
    <t xml:space="preserve">Total </t>
  </si>
  <si>
    <t>Pension Payment, Interest Payments &amp; Total Expenditure</t>
  </si>
  <si>
    <t>NA</t>
  </si>
  <si>
    <t>GSDP (CSO - as on 01.03.2014)                                                                             (Rs.Crore)</t>
  </si>
  <si>
    <t>GSDP (CSO - as on 01.03.2014)                                                                       (Rs. Crore)</t>
  </si>
  <si>
    <t>GSDP   As on 01.03.2014                                                                                                  (Rs. Crore)</t>
  </si>
  <si>
    <t>GSDP - CSO as on 01.03.2014</t>
  </si>
  <si>
    <t>Source: Fiscal Indicators of the States submitted alongwith Book of Estimates for Annual Plan 2014-15 &amp; RBI- A Study of Budgets</t>
  </si>
  <si>
    <t>Source: CSO: Mid Year (July)</t>
  </si>
  <si>
    <t>General Category States (GCS)</t>
  </si>
  <si>
    <t>Sub Total: GCS</t>
  </si>
  <si>
    <t>Source: CSO (as on 01-03-2014)</t>
  </si>
  <si>
    <t>Total: GCS</t>
  </si>
  <si>
    <t>NON PLAN EXPENDITURE                                                                                                          (Rs. Crore)</t>
  </si>
  <si>
    <t>PLAN EXPENDITURE                                                                                                (Rs. Crore)</t>
  </si>
  <si>
    <t>(Rs. Crores)</t>
  </si>
  <si>
    <t xml:space="preserve">States/Uts </t>
  </si>
  <si>
    <t>Actual Expenditure</t>
  </si>
  <si>
    <t>Revised Outlay</t>
  </si>
  <si>
    <t>Approved Outlay</t>
  </si>
  <si>
    <t>Current Prices</t>
  </si>
  <si>
    <t>2006-07 Prices</t>
  </si>
  <si>
    <t>Sub Total SCS</t>
  </si>
  <si>
    <t xml:space="preserve">Andhra Pradesh </t>
  </si>
  <si>
    <t>Chattisgarh</t>
  </si>
  <si>
    <t>Total States</t>
  </si>
  <si>
    <t>Union Territories (UTs)</t>
  </si>
  <si>
    <t>A&amp;N Islands</t>
  </si>
  <si>
    <t>Chandigarh</t>
  </si>
  <si>
    <t>D&amp;N Haveli</t>
  </si>
  <si>
    <t>Daman &amp; Diu</t>
  </si>
  <si>
    <t xml:space="preserve">Delhi </t>
  </si>
  <si>
    <t xml:space="preserve">Lakshadweep </t>
  </si>
  <si>
    <t>Total UTs</t>
  </si>
  <si>
    <t>Total (States &amp; UTs)</t>
  </si>
  <si>
    <t>Source: State Plan Coordination, Planning Commission</t>
  </si>
  <si>
    <t>GDP Deflators at 2006-07 Prices</t>
  </si>
  <si>
    <t>Gross State Domestic Product</t>
  </si>
  <si>
    <t>Actual Expenditure/ Outlay - Current Prices</t>
  </si>
  <si>
    <t>GSDP - Current Prices (as on 01.03.2014)</t>
  </si>
  <si>
    <t>Actual Outlay/ Expenditure as %age of GSDP</t>
  </si>
  <si>
    <t>States/'UTs</t>
  </si>
  <si>
    <t>AGGREGATE RESOURCES  - CURRENT PRICES</t>
  </si>
  <si>
    <t>AGGREGATE RESOURCES  - CONSTANT (2006-07) PRICES</t>
  </si>
  <si>
    <t>LE</t>
  </si>
  <si>
    <t>AP</t>
  </si>
  <si>
    <t>I.</t>
  </si>
  <si>
    <t>Special Category States</t>
  </si>
  <si>
    <t>Jammu and Kashmir</t>
  </si>
  <si>
    <t>Total SCS</t>
  </si>
  <si>
    <t>II.</t>
  </si>
  <si>
    <t>III.</t>
  </si>
  <si>
    <t>UTS</t>
  </si>
  <si>
    <t>NCT Delhi</t>
  </si>
  <si>
    <t>UTs (Total)</t>
  </si>
  <si>
    <t>GRAND TOTAL (STATES+UTS) (I+II+III)</t>
  </si>
  <si>
    <t>Source: Book of Estimates of States for Annual Plan 2011-12 &amp; 2012-13</t>
  </si>
  <si>
    <t>11th Plan Projection</t>
  </si>
  <si>
    <t>AGGREGATE RESOURCES  - CURRENT PRICES                                              (Rs. Crore)</t>
  </si>
  <si>
    <t>GSDP: Current Prices  CSO : as on 01.03.2014                                                                                                                  (Rs. Crore)</t>
  </si>
  <si>
    <t>Aggregate Resources - As %age of GSDP</t>
  </si>
  <si>
    <t>2007-12</t>
  </si>
  <si>
    <t>(2006-07 Prices)</t>
  </si>
  <si>
    <t>All states</t>
  </si>
  <si>
    <t>Uts</t>
  </si>
  <si>
    <t>Source: Book of Estimates for Annual Plan 2011-12 &amp; 2012-13</t>
  </si>
  <si>
    <t>BCR - CURRENT PRICES</t>
  </si>
  <si>
    <t>BCR - CONSTANT (2006-07) PRICES</t>
  </si>
  <si>
    <t xml:space="preserve">UTs </t>
  </si>
  <si>
    <t>GRAND TOTAL (STATES+UTS)</t>
  </si>
  <si>
    <t>Source: Book of Estmates of the States/'Uts for the Annual Plans 2011-12 &amp; 2012-13</t>
  </si>
  <si>
    <t>BCR - %age of GSDP</t>
  </si>
  <si>
    <t>BCR -  %age of Aggregate Resources</t>
  </si>
  <si>
    <t>Pre-actuals</t>
  </si>
  <si>
    <t xml:space="preserve">Source - Book of Estimates of the States for Annual Plan 2013-14 </t>
  </si>
  <si>
    <t>States Own Resources  - Current Prices</t>
  </si>
  <si>
    <t>States Own Resources  - Constant Prices</t>
  </si>
  <si>
    <t>Actual/Pre.Actual</t>
  </si>
  <si>
    <t>Source - Book of Estimates of the States for Annual Plan 2011-12 and 2012-13</t>
  </si>
  <si>
    <t>others</t>
  </si>
  <si>
    <t>State Own Resources - % age of GSDP</t>
  </si>
  <si>
    <t>State Own Resources -  %age of Aggregate Resources</t>
  </si>
  <si>
    <t>BORROWINGS  - CURRENT PRICES</t>
  </si>
  <si>
    <t>BORROWINGS  - CONSTANT (2006-07) PRICES</t>
  </si>
  <si>
    <t>Actual/Pre-Actuals</t>
  </si>
  <si>
    <t>In Percent</t>
  </si>
  <si>
    <t>Budgetary Borrowing -  %age of GSDP</t>
  </si>
  <si>
    <t>Budgetary Borrowings - %age of Aggregate Resources</t>
  </si>
  <si>
    <t>UTs</t>
  </si>
  <si>
    <t>CENTRAL ASSISTANCE  - CURRENT PRICES</t>
  </si>
  <si>
    <t>CENTRAL ASSISTANCE  - CONSTANT (2006-07) PRICES</t>
  </si>
  <si>
    <t>Actual/Pre-actuals</t>
  </si>
  <si>
    <t>CENTRAL ASSISTANCE - %age of GSDP</t>
  </si>
  <si>
    <t>CENTRAL ASSISTANCE - %age of Aggregate Resources</t>
  </si>
  <si>
    <t>Orissa</t>
  </si>
  <si>
    <t>TABLE 13 : TREND OF RESOURCES (IR+EBR) FROM PUBLIC SECTOR ENTERPRISES FOR PLAN FINANCING* - AS REPORTED BY THE STATES &amp; UTS</t>
  </si>
  <si>
    <t xml:space="preserve"> CURRENT PRICES</t>
  </si>
  <si>
    <t xml:space="preserve"> CONSTANT PRICES (2006-07) </t>
  </si>
  <si>
    <t>2012-14</t>
  </si>
  <si>
    <t>TABLE - 14 : CENTRAL TRANSFERS TO THE STATES &amp; UTS DURING 2007-08 &amp; 2014-15</t>
  </si>
  <si>
    <t>(Rs. crore)</t>
  </si>
  <si>
    <t>Items</t>
  </si>
  <si>
    <t>2013-14 (RE)</t>
  </si>
  <si>
    <t>2014-15 (BE)</t>
  </si>
  <si>
    <t>Share in Central Taxes &amp; Duties</t>
  </si>
  <si>
    <t>Source: Budget at a Glance</t>
  </si>
  <si>
    <t>Non Plan Grants &amp; Loans</t>
  </si>
  <si>
    <t>Grants</t>
  </si>
  <si>
    <t>Loans</t>
  </si>
  <si>
    <t>Central Assistance for State &amp; UT Plans**</t>
  </si>
  <si>
    <t xml:space="preserve">   Grants</t>
  </si>
  <si>
    <t xml:space="preserve">   Loans</t>
  </si>
  <si>
    <t>Of which:</t>
  </si>
  <si>
    <t xml:space="preserve">S t a t e s            </t>
  </si>
  <si>
    <t>(i) Normal Central Assistance (grants)</t>
  </si>
  <si>
    <t>Source: Statement 16 of Union Budget</t>
  </si>
  <si>
    <t>(ii) Special Plan Assistance (SPA)</t>
  </si>
  <si>
    <t>(iii) Special Central Assistance (untied)</t>
  </si>
  <si>
    <t>(iv) One Time ACA</t>
  </si>
  <si>
    <t>(iv) Other Schemewise ACA</t>
  </si>
  <si>
    <t>Assistance for Central &amp; Centrally Sponsored Schemes</t>
  </si>
  <si>
    <t>Total Grants &amp; Loans (2+3+4)</t>
  </si>
  <si>
    <t>Less: Recovery of Loans &amp; Advances</t>
  </si>
  <si>
    <t>Net Resoureces transferred to state &amp; UT Government (1+5-6)</t>
  </si>
  <si>
    <t>Direct Transfers*</t>
  </si>
  <si>
    <t>Total Transfers to States &amp; Uts</t>
  </si>
  <si>
    <t>(1+2+3+4+8)</t>
  </si>
  <si>
    <t>* Direct Releses to Autonomous Bodies/Implementing Agencies (including MPLADS)</t>
  </si>
  <si>
    <t>** Excluding UTs without Legislature &amp; MPLADS</t>
  </si>
  <si>
    <t>Note: The Centrally Sponsored Schemes, which were hitherto a part of Central Plan, have been restructured &amp; reclassified as Central Assistance to State &amp; UT Plans from 2014-15 BE.</t>
  </si>
  <si>
    <t>General Category States</t>
  </si>
  <si>
    <t>Total GCS</t>
  </si>
  <si>
    <t xml:space="preserve">Table -1 : Annual Plan (2007-14) - Actual Expenditure - States /UTs </t>
  </si>
  <si>
    <t>Table -2 : Annual Plan (2007-14) - Actual Expenditure - % to GSDP -  States /Uts</t>
  </si>
  <si>
    <t>TABLE 3 : AGGREGATE RESOURCES  REALIZATION DURING (2007-14)  - STATES &amp; UTS</t>
  </si>
  <si>
    <t>TABLE 4 : AGREGATE ACTUAL RESOURCES DURING (2007-14) - AS %AGE OF GSDP - STATES &amp; UTS</t>
  </si>
  <si>
    <t>TABLE 5 : BALANCE FROM THE CURRENT REVENUES DURING (2007-14) ANNUAL PLAN - FOR STATES &amp; 'UTs</t>
  </si>
  <si>
    <t>TABLE 6 : BALANCE FROM CURRENT REVENURES (BCR) DURING (2007-14) ANNUAL PLAN - STATES &amp; UTS - CURRENT PRICES</t>
  </si>
  <si>
    <t>TABLE 7 : OWN RESOURCES DURING (2007-14) ANNUAL PLAN -  STATES &amp; UTS</t>
  </si>
  <si>
    <t>TABLE 8 : STATE OWN RESOURCES DURING  (2007-14) ANNUAL PLAN -  STATES &amp; UTS (CURRENT PRICES)</t>
  </si>
  <si>
    <t>TABLE 9 : TRENDS OF STATE BUDGETARY BORROWING DURING (2007-14) ANNUAL PLAN PERIOD -  FOR STATES &amp; UTS</t>
  </si>
  <si>
    <t>TABLE 10 : BUDGETARY BORROWING DURING (2007-14) ANNUAL PLAN FOR STATES &amp; UTS - CURRENT PRICES</t>
  </si>
  <si>
    <t>TABLE 11 : TRENDS OF CENTRAL ASSISTANCE DURING (2007-14) ANNUAL PLAN - FOR STATES &amp; UTS</t>
  </si>
  <si>
    <t>TABLE 12 : TRENDS OF CENTRAL ASSISTANCE DURING (2007-14) ANNUAL PLAN - FOR STATES &amp; UTS</t>
  </si>
</sst>
</file>

<file path=xl/styles.xml><?xml version="1.0" encoding="utf-8"?>
<styleSheet xmlns="http://schemas.openxmlformats.org/spreadsheetml/2006/main">
  <numFmts count="3">
    <numFmt numFmtId="172" formatCode="0.0000"/>
    <numFmt numFmtId="173" formatCode="0.0"/>
    <numFmt numFmtId="174" formatCode="0.00000"/>
  </numFmts>
  <fonts count="102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Tahoma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0"/>
      <name val="Bookman Old Style"/>
      <family val="1"/>
    </font>
    <font>
      <b/>
      <sz val="12"/>
      <name val="Bookman Old Style"/>
      <family val="1"/>
    </font>
    <font>
      <sz val="10"/>
      <name val="Bookman Old Style"/>
      <family val="1"/>
    </font>
    <font>
      <b/>
      <i/>
      <sz val="10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9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4"/>
      <color indexed="12"/>
      <name val="Tahoma"/>
      <family val="2"/>
    </font>
    <font>
      <b/>
      <sz val="14"/>
      <color indexed="12"/>
      <name val="Bookman Old Style"/>
      <family val="1"/>
    </font>
    <font>
      <b/>
      <sz val="14"/>
      <name val="Tahoma"/>
      <family val="2"/>
    </font>
    <font>
      <sz val="10"/>
      <color indexed="10"/>
      <name val="Tahoma"/>
      <family val="2"/>
    </font>
    <font>
      <sz val="10"/>
      <color indexed="8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name val="Tahoma"/>
      <family val="2"/>
    </font>
    <font>
      <b/>
      <i/>
      <sz val="12"/>
      <name val="Tahoma"/>
      <family val="2"/>
    </font>
    <font>
      <b/>
      <sz val="12"/>
      <color indexed="10"/>
      <name val="Tahoma"/>
      <family val="2"/>
    </font>
    <font>
      <sz val="10"/>
      <name val="Arial"/>
      <family val="2"/>
    </font>
    <font>
      <b/>
      <sz val="18"/>
      <color indexed="12"/>
      <name val="Bookman Old Style"/>
      <family val="1"/>
    </font>
    <font>
      <sz val="10"/>
      <name val="Courier"/>
      <family val="3"/>
    </font>
    <font>
      <sz val="10"/>
      <name val="Courier"/>
    </font>
    <font>
      <b/>
      <sz val="14"/>
      <color indexed="18"/>
      <name val="Tahoma"/>
      <family val="2"/>
    </font>
    <font>
      <b/>
      <sz val="11"/>
      <color indexed="10"/>
      <name val="Tahoma"/>
      <family val="2"/>
    </font>
    <font>
      <b/>
      <i/>
      <sz val="11"/>
      <color indexed="10"/>
      <name val="Tahoma"/>
      <family val="2"/>
    </font>
    <font>
      <i/>
      <sz val="11"/>
      <color indexed="10"/>
      <name val="Tahoma"/>
      <family val="2"/>
    </font>
    <font>
      <i/>
      <sz val="10"/>
      <color indexed="10"/>
      <name val="Tahoma"/>
      <family val="2"/>
    </font>
    <font>
      <sz val="11"/>
      <name val="Bookman Old Style"/>
      <family val="1"/>
    </font>
    <font>
      <sz val="11"/>
      <color indexed="8"/>
      <name val="Bookman Old Style"/>
      <family val="1"/>
    </font>
    <font>
      <b/>
      <sz val="10"/>
      <color indexed="8"/>
      <name val="Bookman Old Style"/>
      <family val="1"/>
    </font>
    <font>
      <b/>
      <i/>
      <sz val="11"/>
      <name val="Tahoma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b/>
      <sz val="12"/>
      <color indexed="12"/>
      <name val="Bookman Old Style"/>
      <family val="1"/>
    </font>
    <font>
      <sz val="10"/>
      <color indexed="8"/>
      <name val="Bookman Old Style"/>
      <family val="1"/>
    </font>
    <font>
      <b/>
      <i/>
      <sz val="14"/>
      <color indexed="12"/>
      <name val="Bookman Old Style"/>
      <family val="1"/>
    </font>
    <font>
      <b/>
      <sz val="9"/>
      <color indexed="8"/>
      <name val="Bookman Old Style"/>
      <family val="1"/>
    </font>
    <font>
      <b/>
      <sz val="14"/>
      <color indexed="8"/>
      <name val="Bookman Old Style"/>
      <family val="1"/>
    </font>
    <font>
      <b/>
      <sz val="11"/>
      <color indexed="8"/>
      <name val="Bookman Old Style"/>
      <family val="1"/>
    </font>
    <font>
      <sz val="9"/>
      <color indexed="8"/>
      <name val="Bookman Old Style"/>
      <family val="1"/>
    </font>
    <font>
      <b/>
      <sz val="12"/>
      <color indexed="8"/>
      <name val="Bookman Old Style"/>
      <family val="1"/>
    </font>
    <font>
      <b/>
      <sz val="11"/>
      <name val="Bookman Old Style"/>
      <family val="1"/>
    </font>
    <font>
      <b/>
      <sz val="9"/>
      <name val="Bookman Old Style"/>
      <family val="1"/>
    </font>
    <font>
      <b/>
      <sz val="11"/>
      <name val="Arial"/>
      <family val="2"/>
    </font>
    <font>
      <sz val="11"/>
      <name val="Arial"/>
      <family val="2"/>
    </font>
    <font>
      <i/>
      <sz val="10"/>
      <name val="Bookman Old Style"/>
      <family val="1"/>
    </font>
    <font>
      <i/>
      <sz val="11"/>
      <name val="Bookman Old Style"/>
      <family val="1"/>
    </font>
    <font>
      <i/>
      <sz val="11"/>
      <color indexed="8"/>
      <name val="Bookman Old Style"/>
      <family val="1"/>
    </font>
    <font>
      <b/>
      <i/>
      <sz val="10"/>
      <name val="Bookman Old Style"/>
      <family val="1"/>
    </font>
    <font>
      <b/>
      <i/>
      <sz val="10"/>
      <color indexed="8"/>
      <name val="Bookman Old Style"/>
      <family val="1"/>
    </font>
    <font>
      <b/>
      <i/>
      <sz val="11"/>
      <name val="Arial"/>
      <family val="2"/>
    </font>
    <font>
      <sz val="9"/>
      <name val="Bookman Old Style"/>
      <family val="1"/>
    </font>
    <font>
      <b/>
      <i/>
      <sz val="11"/>
      <name val="Bookman Old Style"/>
      <family val="1"/>
    </font>
    <font>
      <b/>
      <i/>
      <sz val="12"/>
      <color indexed="12"/>
      <name val="Bookman Old Style"/>
      <family val="1"/>
    </font>
    <font>
      <b/>
      <sz val="14"/>
      <name val="Bookman Old Style"/>
      <family val="1"/>
    </font>
    <font>
      <b/>
      <sz val="13"/>
      <color indexed="12"/>
      <name val="Bookman Old Style"/>
      <family val="1"/>
    </font>
    <font>
      <i/>
      <sz val="11"/>
      <name val="Arial"/>
      <family val="2"/>
    </font>
    <font>
      <b/>
      <u/>
      <sz val="10"/>
      <color indexed="8"/>
      <name val="Tahoma"/>
      <family val="2"/>
    </font>
    <font>
      <b/>
      <u/>
      <sz val="10"/>
      <name val="Tahoma"/>
      <family val="2"/>
    </font>
    <font>
      <b/>
      <sz val="14"/>
      <color indexed="8"/>
      <name val="Tahoma"/>
      <family val="2"/>
    </font>
    <font>
      <b/>
      <sz val="12"/>
      <color indexed="8"/>
      <name val="Tahoma"/>
      <family val="2"/>
    </font>
    <font>
      <i/>
      <sz val="10"/>
      <color indexed="8"/>
      <name val="Tahoma"/>
      <family val="2"/>
    </font>
    <font>
      <i/>
      <sz val="12"/>
      <color indexed="8"/>
      <name val="Tahoma"/>
      <family val="2"/>
    </font>
    <font>
      <b/>
      <i/>
      <sz val="10"/>
      <color indexed="8"/>
      <name val="Tahoma"/>
      <family val="2"/>
    </font>
    <font>
      <sz val="12"/>
      <color indexed="8"/>
      <name val="Tahoma"/>
      <family val="2"/>
    </font>
    <font>
      <b/>
      <sz val="8"/>
      <color indexed="81"/>
      <name val="Tahoma"/>
    </font>
    <font>
      <sz val="8"/>
      <color indexed="81"/>
      <name val="Tahoma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0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" applyNumberFormat="0" applyAlignment="0" applyProtection="0"/>
    <xf numFmtId="0" fontId="28" fillId="21" borderId="2" applyNumberFormat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7" borderId="1" applyNumberFormat="0" applyAlignment="0" applyProtection="0"/>
    <xf numFmtId="0" fontId="36" fillId="0" borderId="6" applyNumberFormat="0" applyFill="0" applyAlignment="0" applyProtection="0"/>
    <xf numFmtId="0" fontId="37" fillId="22" borderId="0" applyNumberFormat="0" applyBorder="0" applyAlignment="0" applyProtection="0"/>
    <xf numFmtId="0" fontId="2" fillId="0" borderId="0"/>
    <xf numFmtId="0" fontId="20" fillId="0" borderId="0"/>
    <xf numFmtId="0" fontId="1" fillId="0" borderId="0"/>
    <xf numFmtId="0" fontId="20" fillId="0" borderId="0"/>
    <xf numFmtId="39" fontId="55" fillId="0" borderId="0"/>
    <xf numFmtId="39" fontId="56" fillId="0" borderId="0"/>
    <xf numFmtId="0" fontId="1" fillId="0" borderId="0"/>
    <xf numFmtId="0" fontId="24" fillId="23" borderId="7" applyNumberFormat="0" applyFont="0" applyAlignment="0" applyProtection="0"/>
    <xf numFmtId="0" fontId="38" fillId="20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</cellStyleXfs>
  <cellXfs count="690">
    <xf numFmtId="0" fontId="0" fillId="0" borderId="0" xfId="0"/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0" xfId="0" applyFont="1" applyFill="1" applyBorder="1"/>
    <xf numFmtId="0" fontId="6" fillId="0" borderId="10" xfId="0" applyFont="1" applyBorder="1"/>
    <xf numFmtId="0" fontId="0" fillId="0" borderId="11" xfId="0" applyBorder="1"/>
    <xf numFmtId="0" fontId="0" fillId="0" borderId="10" xfId="0" applyBorder="1"/>
    <xf numFmtId="2" fontId="6" fillId="0" borderId="10" xfId="0" applyNumberFormat="1" applyFont="1" applyFill="1" applyBorder="1"/>
    <xf numFmtId="2" fontId="6" fillId="0" borderId="10" xfId="0" applyNumberFormat="1" applyFont="1" applyBorder="1"/>
    <xf numFmtId="2" fontId="6" fillId="0" borderId="12" xfId="0" applyNumberFormat="1" applyFont="1" applyBorder="1"/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/>
    <xf numFmtId="0" fontId="0" fillId="0" borderId="0" xfId="0" applyFill="1"/>
    <xf numFmtId="0" fontId="5" fillId="0" borderId="10" xfId="0" applyFont="1" applyFill="1" applyBorder="1" applyAlignment="1">
      <alignment horizontal="center"/>
    </xf>
    <xf numFmtId="2" fontId="5" fillId="0" borderId="10" xfId="0" applyNumberFormat="1" applyFont="1" applyFill="1" applyBorder="1"/>
    <xf numFmtId="0" fontId="4" fillId="0" borderId="0" xfId="0" applyFont="1" applyFill="1"/>
    <xf numFmtId="1" fontId="6" fillId="0" borderId="10" xfId="0" applyNumberFormat="1" applyFont="1" applyFill="1" applyBorder="1"/>
    <xf numFmtId="0" fontId="0" fillId="0" borderId="10" xfId="0" applyFill="1" applyBorder="1"/>
    <xf numFmtId="0" fontId="2" fillId="0" borderId="0" xfId="0" applyFont="1"/>
    <xf numFmtId="0" fontId="2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6" fillId="0" borderId="0" xfId="0" applyFont="1"/>
    <xf numFmtId="14" fontId="5" fillId="0" borderId="12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wrapText="1"/>
    </xf>
    <xf numFmtId="0" fontId="10" fillId="0" borderId="0" xfId="0" applyFont="1" applyAlignment="1"/>
    <xf numFmtId="0" fontId="9" fillId="0" borderId="10" xfId="0" applyFont="1" applyBorder="1"/>
    <xf numFmtId="0" fontId="10" fillId="0" borderId="10" xfId="0" applyFont="1" applyBorder="1"/>
    <xf numFmtId="0" fontId="10" fillId="0" borderId="10" xfId="0" applyFont="1" applyFill="1" applyBorder="1"/>
    <xf numFmtId="0" fontId="9" fillId="0" borderId="10" xfId="0" applyFont="1" applyBorder="1" applyAlignment="1">
      <alignment horizontal="center"/>
    </xf>
    <xf numFmtId="2" fontId="6" fillId="0" borderId="10" xfId="0" applyNumberFormat="1" applyFont="1" applyBorder="1" applyAlignment="1">
      <alignment horizontal="right"/>
    </xf>
    <xf numFmtId="0" fontId="9" fillId="0" borderId="10" xfId="0" applyFont="1" applyFill="1" applyBorder="1" applyAlignment="1">
      <alignment horizontal="center"/>
    </xf>
    <xf numFmtId="0" fontId="9" fillId="0" borderId="10" xfId="0" applyFont="1" applyFill="1" applyBorder="1"/>
    <xf numFmtId="0" fontId="9" fillId="0" borderId="0" xfId="0" applyFont="1" applyFill="1"/>
    <xf numFmtId="0" fontId="10" fillId="0" borderId="0" xfId="0" applyFont="1"/>
    <xf numFmtId="2" fontId="10" fillId="0" borderId="10" xfId="0" applyNumberFormat="1" applyFont="1" applyBorder="1" applyProtection="1">
      <protection locked="0"/>
    </xf>
    <xf numFmtId="2" fontId="9" fillId="0" borderId="0" xfId="0" applyNumberFormat="1" applyFont="1"/>
    <xf numFmtId="0" fontId="11" fillId="0" borderId="0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top" wrapText="1"/>
    </xf>
    <xf numFmtId="0" fontId="11" fillId="0" borderId="10" xfId="0" applyFont="1" applyBorder="1" applyAlignment="1">
      <alignment horizontal="center"/>
    </xf>
    <xf numFmtId="0" fontId="13" fillId="0" borderId="0" xfId="0" applyFont="1"/>
    <xf numFmtId="0" fontId="11" fillId="0" borderId="10" xfId="0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1" fillId="0" borderId="10" xfId="0" applyFont="1" applyBorder="1"/>
    <xf numFmtId="0" fontId="11" fillId="0" borderId="10" xfId="0" applyFont="1" applyFill="1" applyBorder="1"/>
    <xf numFmtId="0" fontId="13" fillId="0" borderId="10" xfId="0" applyFont="1" applyBorder="1"/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2" fontId="13" fillId="0" borderId="10" xfId="0" applyNumberFormat="1" applyFont="1" applyFill="1" applyBorder="1"/>
    <xf numFmtId="1" fontId="6" fillId="0" borderId="10" xfId="0" applyNumberFormat="1" applyFont="1" applyFill="1" applyBorder="1" applyAlignment="1">
      <alignment horizontal="right"/>
    </xf>
    <xf numFmtId="0" fontId="13" fillId="0" borderId="0" xfId="0" applyFont="1" applyFill="1"/>
    <xf numFmtId="2" fontId="11" fillId="0" borderId="10" xfId="0" applyNumberFormat="1" applyFont="1" applyFill="1" applyBorder="1"/>
    <xf numFmtId="1" fontId="11" fillId="0" borderId="10" xfId="0" applyNumberFormat="1" applyFont="1" applyFill="1" applyBorder="1"/>
    <xf numFmtId="0" fontId="11" fillId="0" borderId="0" xfId="0" applyFont="1" applyFill="1"/>
    <xf numFmtId="1" fontId="13" fillId="0" borderId="10" xfId="0" applyNumberFormat="1" applyFont="1" applyFill="1" applyBorder="1"/>
    <xf numFmtId="0" fontId="13" fillId="0" borderId="0" xfId="0" applyFont="1" applyAlignment="1">
      <alignment horizontal="center"/>
    </xf>
    <xf numFmtId="1" fontId="13" fillId="0" borderId="10" xfId="0" applyNumberFormat="1" applyFont="1" applyFill="1" applyBorder="1" applyAlignment="1">
      <alignment horizontal="right"/>
    </xf>
    <xf numFmtId="0" fontId="5" fillId="0" borderId="0" xfId="0" applyFont="1" applyFill="1"/>
    <xf numFmtId="2" fontId="6" fillId="0" borderId="10" xfId="0" applyNumberFormat="1" applyFont="1" applyFill="1" applyBorder="1" applyAlignment="1">
      <alignment horizontal="right"/>
    </xf>
    <xf numFmtId="2" fontId="5" fillId="0" borderId="10" xfId="0" applyNumberFormat="1" applyFont="1" applyFill="1" applyBorder="1" applyAlignment="1">
      <alignment horizontal="right"/>
    </xf>
    <xf numFmtId="1" fontId="5" fillId="0" borderId="10" xfId="0" applyNumberFormat="1" applyFont="1" applyFill="1" applyBorder="1"/>
    <xf numFmtId="0" fontId="5" fillId="0" borderId="0" xfId="0" applyFont="1"/>
    <xf numFmtId="0" fontId="3" fillId="24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10" xfId="0" applyFont="1" applyBorder="1" applyAlignment="1">
      <alignment horizontal="center"/>
    </xf>
    <xf numFmtId="1" fontId="6" fillId="0" borderId="10" xfId="0" applyNumberFormat="1" applyFont="1" applyBorder="1"/>
    <xf numFmtId="1" fontId="5" fillId="0" borderId="10" xfId="0" applyNumberFormat="1" applyFont="1" applyBorder="1"/>
    <xf numFmtId="0" fontId="4" fillId="0" borderId="0" xfId="0" applyFont="1"/>
    <xf numFmtId="0" fontId="5" fillId="0" borderId="10" xfId="0" applyFont="1" applyFill="1" applyBorder="1" applyAlignment="1">
      <alignment horizontal="center" vertical="center"/>
    </xf>
    <xf numFmtId="0" fontId="0" fillId="0" borderId="0" xfId="0" applyAlignment="1"/>
    <xf numFmtId="0" fontId="15" fillId="0" borderId="10" xfId="0" applyFont="1" applyBorder="1" applyAlignment="1">
      <alignment horizontal="center"/>
    </xf>
    <xf numFmtId="0" fontId="15" fillId="0" borderId="10" xfId="0" applyFont="1" applyBorder="1"/>
    <xf numFmtId="0" fontId="16" fillId="0" borderId="0" xfId="0" applyFont="1"/>
    <xf numFmtId="172" fontId="6" fillId="0" borderId="10" xfId="0" applyNumberFormat="1" applyFont="1" applyBorder="1"/>
    <xf numFmtId="172" fontId="5" fillId="0" borderId="10" xfId="0" applyNumberFormat="1" applyFont="1" applyBorder="1"/>
    <xf numFmtId="0" fontId="6" fillId="0" borderId="0" xfId="0" applyFont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10" xfId="0" applyFont="1" applyFill="1" applyBorder="1"/>
    <xf numFmtId="0" fontId="16" fillId="0" borderId="0" xfId="0" applyFont="1" applyFill="1"/>
    <xf numFmtId="172" fontId="5" fillId="0" borderId="10" xfId="0" applyNumberFormat="1" applyFont="1" applyFill="1" applyBorder="1"/>
    <xf numFmtId="172" fontId="6" fillId="0" borderId="10" xfId="0" applyNumberFormat="1" applyFont="1" applyFill="1" applyBorder="1"/>
    <xf numFmtId="0" fontId="9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top" wrapText="1"/>
    </xf>
    <xf numFmtId="0" fontId="6" fillId="0" borderId="0" xfId="39" applyFont="1"/>
    <xf numFmtId="0" fontId="5" fillId="0" borderId="10" xfId="39" applyFont="1" applyBorder="1" applyAlignment="1">
      <alignment horizontal="center" vertical="center" wrapText="1"/>
    </xf>
    <xf numFmtId="0" fontId="5" fillId="0" borderId="0" xfId="39" applyFont="1"/>
    <xf numFmtId="0" fontId="6" fillId="0" borderId="10" xfId="39" applyFont="1" applyBorder="1"/>
    <xf numFmtId="0" fontId="5" fillId="0" borderId="10" xfId="39" applyFont="1" applyBorder="1"/>
    <xf numFmtId="0" fontId="6" fillId="0" borderId="10" xfId="39" applyFont="1" applyBorder="1" applyAlignment="1">
      <alignment horizontal="center"/>
    </xf>
    <xf numFmtId="0" fontId="6" fillId="0" borderId="10" xfId="39" applyFont="1" applyFill="1" applyBorder="1" applyAlignment="1">
      <alignment horizontal="center"/>
    </xf>
    <xf numFmtId="0" fontId="6" fillId="0" borderId="10" xfId="39" applyFont="1" applyFill="1" applyBorder="1"/>
    <xf numFmtId="0" fontId="6" fillId="0" borderId="0" xfId="39" applyFont="1" applyFill="1"/>
    <xf numFmtId="2" fontId="5" fillId="0" borderId="10" xfId="39" applyNumberFormat="1" applyFont="1" applyFill="1" applyBorder="1"/>
    <xf numFmtId="0" fontId="5" fillId="0" borderId="10" xfId="0" applyFont="1" applyBorder="1" applyAlignment="1">
      <alignment vertical="top" wrapText="1"/>
    </xf>
    <xf numFmtId="0" fontId="5" fillId="0" borderId="12" xfId="39" applyFont="1" applyFill="1" applyBorder="1" applyAlignment="1">
      <alignment horizontal="center" vertical="center" wrapText="1"/>
    </xf>
    <xf numFmtId="14" fontId="5" fillId="0" borderId="12" xfId="39" applyNumberFormat="1" applyFont="1" applyFill="1" applyBorder="1" applyAlignment="1">
      <alignment horizontal="center" vertical="top"/>
    </xf>
    <xf numFmtId="0" fontId="5" fillId="0" borderId="10" xfId="39" applyFont="1" applyFill="1" applyBorder="1" applyAlignment="1">
      <alignment horizontal="center" vertical="center" wrapText="1"/>
    </xf>
    <xf numFmtId="1" fontId="6" fillId="0" borderId="10" xfId="39" applyNumberFormat="1" applyFont="1" applyFill="1" applyBorder="1" applyAlignment="1">
      <alignment horizontal="right"/>
    </xf>
    <xf numFmtId="1" fontId="6" fillId="0" borderId="10" xfId="39" applyNumberFormat="1" applyFont="1" applyFill="1" applyBorder="1"/>
    <xf numFmtId="1" fontId="5" fillId="0" borderId="10" xfId="39" applyNumberFormat="1" applyFont="1" applyFill="1" applyBorder="1"/>
    <xf numFmtId="0" fontId="23" fillId="0" borderId="10" xfId="39" applyFont="1" applyBorder="1"/>
    <xf numFmtId="1" fontId="23" fillId="0" borderId="10" xfId="39" applyNumberFormat="1" applyFont="1" applyFill="1" applyBorder="1"/>
    <xf numFmtId="0" fontId="23" fillId="0" borderId="0" xfId="39" applyFont="1"/>
    <xf numFmtId="1" fontId="6" fillId="0" borderId="10" xfId="39" applyNumberFormat="1" applyFont="1" applyBorder="1"/>
    <xf numFmtId="1" fontId="23" fillId="0" borderId="10" xfId="39" applyNumberFormat="1" applyFont="1" applyBorder="1"/>
    <xf numFmtId="0" fontId="5" fillId="0" borderId="10" xfId="39" applyFont="1" applyBorder="1" applyAlignment="1">
      <alignment vertical="top" wrapText="1"/>
    </xf>
    <xf numFmtId="0" fontId="5" fillId="0" borderId="10" xfId="39" applyFont="1" applyFill="1" applyBorder="1"/>
    <xf numFmtId="1" fontId="0" fillId="0" borderId="0" xfId="0" applyNumberFormat="1" applyFont="1" applyFill="1"/>
    <xf numFmtId="0" fontId="0" fillId="0" borderId="0" xfId="0" applyFont="1" applyFill="1"/>
    <xf numFmtId="0" fontId="6" fillId="0" borderId="13" xfId="0" applyFont="1" applyFill="1" applyBorder="1"/>
    <xf numFmtId="2" fontId="6" fillId="0" borderId="0" xfId="0" applyNumberFormat="1" applyFont="1" applyFill="1"/>
    <xf numFmtId="1" fontId="0" fillId="0" borderId="0" xfId="0" applyNumberFormat="1"/>
    <xf numFmtId="14" fontId="5" fillId="25" borderId="10" xfId="39" applyNumberFormat="1" applyFont="1" applyFill="1" applyBorder="1" applyAlignment="1">
      <alignment horizontal="center" vertical="top"/>
    </xf>
    <xf numFmtId="0" fontId="5" fillId="26" borderId="10" xfId="0" applyFont="1" applyFill="1" applyBorder="1" applyAlignment="1">
      <alignment horizontal="center" vertical="center" wrapText="1"/>
    </xf>
    <xf numFmtId="0" fontId="5" fillId="26" borderId="10" xfId="0" applyFont="1" applyFill="1" applyBorder="1"/>
    <xf numFmtId="2" fontId="6" fillId="26" borderId="10" xfId="0" applyNumberFormat="1" applyFont="1" applyFill="1" applyBorder="1"/>
    <xf numFmtId="2" fontId="5" fillId="26" borderId="10" xfId="0" applyNumberFormat="1" applyFont="1" applyFill="1" applyBorder="1"/>
    <xf numFmtId="0" fontId="5" fillId="26" borderId="12" xfId="0" applyFont="1" applyFill="1" applyBorder="1" applyAlignment="1">
      <alignment horizontal="center" vertical="center" wrapText="1"/>
    </xf>
    <xf numFmtId="14" fontId="5" fillId="26" borderId="12" xfId="0" applyNumberFormat="1" applyFont="1" applyFill="1" applyBorder="1" applyAlignment="1">
      <alignment horizontal="center"/>
    </xf>
    <xf numFmtId="0" fontId="5" fillId="26" borderId="10" xfId="0" applyFont="1" applyFill="1" applyBorder="1" applyAlignment="1">
      <alignment horizontal="center" wrapText="1"/>
    </xf>
    <xf numFmtId="2" fontId="9" fillId="26" borderId="10" xfId="0" applyNumberFormat="1" applyFont="1" applyFill="1" applyBorder="1"/>
    <xf numFmtId="0" fontId="9" fillId="26" borderId="10" xfId="0" applyFont="1" applyFill="1" applyBorder="1"/>
    <xf numFmtId="2" fontId="6" fillId="26" borderId="10" xfId="0" applyNumberFormat="1" applyFont="1" applyFill="1" applyBorder="1" applyAlignment="1">
      <alignment horizontal="right"/>
    </xf>
    <xf numFmtId="2" fontId="5" fillId="26" borderId="10" xfId="0" applyNumberFormat="1" applyFont="1" applyFill="1" applyBorder="1" applyAlignment="1">
      <alignment horizontal="right"/>
    </xf>
    <xf numFmtId="0" fontId="11" fillId="26" borderId="10" xfId="0" applyFont="1" applyFill="1" applyBorder="1" applyAlignment="1">
      <alignment horizontal="center"/>
    </xf>
    <xf numFmtId="0" fontId="11" fillId="26" borderId="10" xfId="0" applyFont="1" applyFill="1" applyBorder="1" applyAlignment="1">
      <alignment horizontal="center" vertical="center" wrapText="1"/>
    </xf>
    <xf numFmtId="0" fontId="11" fillId="26" borderId="10" xfId="0" applyFont="1" applyFill="1" applyBorder="1"/>
    <xf numFmtId="0" fontId="13" fillId="26" borderId="10" xfId="0" applyFont="1" applyFill="1" applyBorder="1"/>
    <xf numFmtId="2" fontId="13" fillId="26" borderId="10" xfId="0" applyNumberFormat="1" applyFont="1" applyFill="1" applyBorder="1"/>
    <xf numFmtId="2" fontId="11" fillId="26" borderId="10" xfId="0" applyNumberFormat="1" applyFont="1" applyFill="1" applyBorder="1"/>
    <xf numFmtId="0" fontId="6" fillId="26" borderId="10" xfId="0" applyFont="1" applyFill="1" applyBorder="1"/>
    <xf numFmtId="0" fontId="5" fillId="26" borderId="10" xfId="0" applyFont="1" applyFill="1" applyBorder="1" applyAlignment="1">
      <alignment horizontal="center" vertical="center"/>
    </xf>
    <xf numFmtId="0" fontId="5" fillId="26" borderId="10" xfId="0" applyFont="1" applyFill="1" applyBorder="1" applyAlignment="1">
      <alignment horizontal="center"/>
    </xf>
    <xf numFmtId="0" fontId="0" fillId="26" borderId="10" xfId="0" applyFill="1" applyBorder="1"/>
    <xf numFmtId="0" fontId="4" fillId="26" borderId="10" xfId="0" applyFont="1" applyFill="1" applyBorder="1"/>
    <xf numFmtId="2" fontId="15" fillId="26" borderId="10" xfId="0" applyNumberFormat="1" applyFont="1" applyFill="1" applyBorder="1"/>
    <xf numFmtId="1" fontId="6" fillId="26" borderId="10" xfId="0" applyNumberFormat="1" applyFont="1" applyFill="1" applyBorder="1"/>
    <xf numFmtId="1" fontId="5" fillId="26" borderId="10" xfId="0" applyNumberFormat="1" applyFont="1" applyFill="1" applyBorder="1"/>
    <xf numFmtId="0" fontId="5" fillId="27" borderId="10" xfId="0" applyFont="1" applyFill="1" applyBorder="1" applyAlignment="1">
      <alignment horizontal="center" vertical="center" wrapText="1"/>
    </xf>
    <xf numFmtId="0" fontId="9" fillId="27" borderId="10" xfId="0" applyFont="1" applyFill="1" applyBorder="1"/>
    <xf numFmtId="1" fontId="6" fillId="27" borderId="10" xfId="0" applyNumberFormat="1" applyFont="1" applyFill="1" applyBorder="1"/>
    <xf numFmtId="1" fontId="5" fillId="27" borderId="10" xfId="0" applyNumberFormat="1" applyFont="1" applyFill="1" applyBorder="1"/>
    <xf numFmtId="0" fontId="6" fillId="28" borderId="10" xfId="39" applyFont="1" applyFill="1" applyBorder="1"/>
    <xf numFmtId="2" fontId="6" fillId="28" borderId="10" xfId="39" applyNumberFormat="1" applyFont="1" applyFill="1" applyBorder="1"/>
    <xf numFmtId="0" fontId="6" fillId="28" borderId="0" xfId="39" applyFont="1" applyFill="1"/>
    <xf numFmtId="2" fontId="5" fillId="0" borderId="12" xfId="0" applyNumberFormat="1" applyFont="1" applyBorder="1"/>
    <xf numFmtId="0" fontId="5" fillId="28" borderId="10" xfId="39" applyFont="1" applyFill="1" applyBorder="1" applyAlignment="1">
      <alignment horizontal="center" vertical="center" wrapText="1"/>
    </xf>
    <xf numFmtId="2" fontId="5" fillId="28" borderId="10" xfId="39" applyNumberFormat="1" applyFont="1" applyFill="1" applyBorder="1"/>
    <xf numFmtId="2" fontId="6" fillId="0" borderId="10" xfId="39" applyNumberFormat="1" applyFont="1" applyFill="1" applyBorder="1"/>
    <xf numFmtId="0" fontId="5" fillId="0" borderId="0" xfId="39" applyFont="1" applyFill="1"/>
    <xf numFmtId="0" fontId="23" fillId="0" borderId="10" xfId="39" applyFont="1" applyFill="1" applyBorder="1"/>
    <xf numFmtId="2" fontId="23" fillId="0" borderId="10" xfId="39" applyNumberFormat="1" applyFont="1" applyFill="1" applyBorder="1"/>
    <xf numFmtId="0" fontId="23" fillId="0" borderId="0" xfId="39" applyFont="1" applyFill="1"/>
    <xf numFmtId="14" fontId="6" fillId="0" borderId="0" xfId="39" applyNumberFormat="1" applyFont="1" applyFill="1"/>
    <xf numFmtId="2" fontId="6" fillId="28" borderId="10" xfId="0" applyNumberFormat="1" applyFont="1" applyFill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5" fillId="29" borderId="10" xfId="0" applyFont="1" applyFill="1" applyBorder="1" applyAlignment="1">
      <alignment horizontal="center" vertical="center" wrapText="1"/>
    </xf>
    <xf numFmtId="2" fontId="6" fillId="29" borderId="10" xfId="0" applyNumberFormat="1" applyFont="1" applyFill="1" applyBorder="1"/>
    <xf numFmtId="0" fontId="6" fillId="29" borderId="10" xfId="0" applyFont="1" applyFill="1" applyBorder="1"/>
    <xf numFmtId="2" fontId="6" fillId="29" borderId="10" xfId="0" applyNumberFormat="1" applyFont="1" applyFill="1" applyBorder="1" applyAlignment="1">
      <alignment horizontal="right"/>
    </xf>
    <xf numFmtId="2" fontId="5" fillId="29" borderId="10" xfId="0" applyNumberFormat="1" applyFont="1" applyFill="1" applyBorder="1" applyAlignment="1">
      <alignment horizontal="right"/>
    </xf>
    <xf numFmtId="2" fontId="13" fillId="0" borderId="10" xfId="0" applyNumberFormat="1" applyFont="1" applyFill="1" applyBorder="1" applyAlignment="1">
      <alignment horizontal="right"/>
    </xf>
    <xf numFmtId="2" fontId="13" fillId="26" borderId="10" xfId="0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172" fontId="6" fillId="0" borderId="10" xfId="0" applyNumberFormat="1" applyFont="1" applyFill="1" applyBorder="1" applyAlignment="1">
      <alignment horizontal="right"/>
    </xf>
    <xf numFmtId="172" fontId="5" fillId="0" borderId="1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172" fontId="6" fillId="0" borderId="10" xfId="0" applyNumberFormat="1" applyFont="1" applyBorder="1" applyAlignment="1">
      <alignment horizontal="right"/>
    </xf>
    <xf numFmtId="0" fontId="9" fillId="0" borderId="10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2" fontId="46" fillId="28" borderId="10" xfId="0" applyNumberFormat="1" applyFont="1" applyFill="1" applyBorder="1" applyAlignment="1">
      <alignment horizontal="right"/>
    </xf>
    <xf numFmtId="0" fontId="6" fillId="0" borderId="10" xfId="0" applyNumberFormat="1" applyFont="1" applyFill="1" applyBorder="1"/>
    <xf numFmtId="0" fontId="5" fillId="0" borderId="10" xfId="0" applyNumberFormat="1" applyFont="1" applyFill="1" applyBorder="1"/>
    <xf numFmtId="0" fontId="6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2" fontId="6" fillId="0" borderId="10" xfId="39" applyNumberFormat="1" applyFont="1" applyFill="1" applyBorder="1" applyAlignment="1">
      <alignment horizontal="right"/>
    </xf>
    <xf numFmtId="0" fontId="6" fillId="0" borderId="0" xfId="39" applyFont="1" applyAlignment="1">
      <alignment horizontal="center"/>
    </xf>
    <xf numFmtId="2" fontId="6" fillId="0" borderId="12" xfId="0" applyNumberFormat="1" applyFont="1" applyFill="1" applyBorder="1"/>
    <xf numFmtId="0" fontId="0" fillId="0" borderId="11" xfId="0" applyFill="1" applyBorder="1"/>
    <xf numFmtId="2" fontId="6" fillId="0" borderId="12" xfId="0" applyNumberFormat="1" applyFont="1" applyFill="1" applyBorder="1" applyAlignment="1">
      <alignment horizontal="right"/>
    </xf>
    <xf numFmtId="2" fontId="5" fillId="0" borderId="12" xfId="0" applyNumberFormat="1" applyFont="1" applyFill="1" applyBorder="1"/>
    <xf numFmtId="0" fontId="13" fillId="26" borderId="10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/>
    </xf>
    <xf numFmtId="2" fontId="46" fillId="0" borderId="10" xfId="0" applyNumberFormat="1" applyFont="1" applyFill="1" applyBorder="1" applyAlignment="1">
      <alignment horizontal="right"/>
    </xf>
    <xf numFmtId="2" fontId="13" fillId="26" borderId="10" xfId="0" applyNumberFormat="1" applyFont="1" applyFill="1" applyBorder="1" applyAlignment="1">
      <alignment horizontal="right" vertical="center" wrapText="1"/>
    </xf>
    <xf numFmtId="2" fontId="47" fillId="0" borderId="10" xfId="0" applyNumberFormat="1" applyFont="1" applyFill="1" applyBorder="1" applyAlignment="1">
      <alignment horizontal="right"/>
    </xf>
    <xf numFmtId="0" fontId="50" fillId="0" borderId="0" xfId="39" applyFont="1"/>
    <xf numFmtId="0" fontId="3" fillId="0" borderId="10" xfId="39" applyFont="1" applyBorder="1" applyAlignment="1">
      <alignment horizontal="center" vertical="center" wrapText="1"/>
    </xf>
    <xf numFmtId="0" fontId="50" fillId="0" borderId="0" xfId="39" applyFont="1" applyAlignment="1">
      <alignment horizontal="center"/>
    </xf>
    <xf numFmtId="0" fontId="50" fillId="0" borderId="10" xfId="39" applyFont="1" applyBorder="1" applyAlignment="1">
      <alignment horizontal="center"/>
    </xf>
    <xf numFmtId="0" fontId="50" fillId="0" borderId="10" xfId="39" applyFont="1" applyBorder="1" applyAlignment="1"/>
    <xf numFmtId="2" fontId="50" fillId="0" borderId="10" xfId="39" applyNumberFormat="1" applyFont="1" applyBorder="1" applyAlignment="1">
      <alignment horizontal="right"/>
    </xf>
    <xf numFmtId="0" fontId="3" fillId="0" borderId="0" xfId="39" applyFont="1" applyAlignment="1"/>
    <xf numFmtId="0" fontId="50" fillId="0" borderId="0" xfId="39" applyFont="1" applyAlignment="1"/>
    <xf numFmtId="0" fontId="3" fillId="0" borderId="10" xfId="39" applyFont="1" applyBorder="1" applyAlignment="1">
      <alignment horizontal="center"/>
    </xf>
    <xf numFmtId="0" fontId="3" fillId="0" borderId="10" xfId="39" applyFont="1" applyBorder="1" applyAlignment="1"/>
    <xf numFmtId="2" fontId="3" fillId="0" borderId="10" xfId="39" applyNumberFormat="1" applyFont="1" applyBorder="1" applyAlignment="1">
      <alignment horizontal="right"/>
    </xf>
    <xf numFmtId="2" fontId="46" fillId="0" borderId="10" xfId="39" applyNumberFormat="1" applyFont="1" applyFill="1" applyBorder="1" applyAlignment="1">
      <alignment horizontal="right"/>
    </xf>
    <xf numFmtId="2" fontId="46" fillId="0" borderId="10" xfId="39" applyNumberFormat="1" applyFont="1" applyFill="1" applyBorder="1"/>
    <xf numFmtId="2" fontId="47" fillId="0" borderId="10" xfId="39" applyNumberFormat="1" applyFont="1" applyFill="1" applyBorder="1" applyAlignment="1">
      <alignment horizontal="right"/>
    </xf>
    <xf numFmtId="2" fontId="5" fillId="0" borderId="10" xfId="39" applyNumberFormat="1" applyFont="1" applyFill="1" applyBorder="1" applyAlignment="1">
      <alignment horizontal="right"/>
    </xf>
    <xf numFmtId="2" fontId="47" fillId="0" borderId="10" xfId="39" applyNumberFormat="1" applyFont="1" applyFill="1" applyBorder="1"/>
    <xf numFmtId="0" fontId="5" fillId="0" borderId="10" xfId="39" applyFont="1" applyFill="1" applyBorder="1" applyAlignment="1">
      <alignment horizontal="center" vertical="top" wrapText="1"/>
    </xf>
    <xf numFmtId="0" fontId="5" fillId="0" borderId="10" xfId="39" applyFont="1" applyFill="1" applyBorder="1" applyAlignment="1">
      <alignment vertical="center" wrapText="1"/>
    </xf>
    <xf numFmtId="0" fontId="5" fillId="28" borderId="10" xfId="39" applyFont="1" applyFill="1" applyBorder="1" applyAlignment="1">
      <alignment vertical="center" wrapText="1"/>
    </xf>
    <xf numFmtId="2" fontId="46" fillId="28" borderId="10" xfId="39" applyNumberFormat="1" applyFont="1" applyFill="1" applyBorder="1" applyAlignment="1">
      <alignment horizontal="right"/>
    </xf>
    <xf numFmtId="2" fontId="6" fillId="28" borderId="10" xfId="39" applyNumberFormat="1" applyFont="1" applyFill="1" applyBorder="1" applyAlignment="1">
      <alignment horizontal="right"/>
    </xf>
    <xf numFmtId="2" fontId="5" fillId="28" borderId="10" xfId="39" applyNumberFormat="1" applyFont="1" applyFill="1" applyBorder="1" applyAlignment="1">
      <alignment horizontal="right"/>
    </xf>
    <xf numFmtId="2" fontId="46" fillId="28" borderId="10" xfId="39" applyNumberFormat="1" applyFont="1" applyFill="1" applyBorder="1"/>
    <xf numFmtId="0" fontId="53" fillId="0" borderId="0" xfId="0" applyFont="1" applyFill="1"/>
    <xf numFmtId="0" fontId="5" fillId="0" borderId="12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center" wrapText="1"/>
    </xf>
    <xf numFmtId="14" fontId="11" fillId="26" borderId="12" xfId="0" applyNumberFormat="1" applyFont="1" applyFill="1" applyBorder="1" applyAlignment="1">
      <alignment horizontal="center" vertical="center"/>
    </xf>
    <xf numFmtId="2" fontId="13" fillId="26" borderId="10" xfId="0" applyNumberFormat="1" applyFont="1" applyFill="1" applyBorder="1" applyAlignment="1">
      <alignment vertical="center"/>
    </xf>
    <xf numFmtId="2" fontId="11" fillId="26" borderId="10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2" fontId="13" fillId="0" borderId="10" xfId="0" applyNumberFormat="1" applyFont="1" applyBorder="1"/>
    <xf numFmtId="14" fontId="11" fillId="25" borderId="10" xfId="39" applyNumberFormat="1" applyFont="1" applyFill="1" applyBorder="1" applyAlignment="1">
      <alignment horizontal="center" vertical="top"/>
    </xf>
    <xf numFmtId="0" fontId="13" fillId="0" borderId="0" xfId="0" applyFont="1" applyFill="1" applyAlignment="1">
      <alignment horizontal="right"/>
    </xf>
    <xf numFmtId="0" fontId="11" fillId="0" borderId="10" xfId="0" applyFont="1" applyFill="1" applyBorder="1" applyAlignment="1">
      <alignment horizontal="center" vertical="top" wrapText="1"/>
    </xf>
    <xf numFmtId="0" fontId="11" fillId="26" borderId="10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0" xfId="0" applyFont="1" applyFill="1" applyBorder="1" applyAlignment="1">
      <alignment horizontal="right" vertical="top" wrapText="1"/>
    </xf>
    <xf numFmtId="0" fontId="11" fillId="0" borderId="0" xfId="0" applyFont="1" applyFill="1" applyAlignment="1">
      <alignment horizontal="center"/>
    </xf>
    <xf numFmtId="0" fontId="13" fillId="0" borderId="10" xfId="0" applyFont="1" applyFill="1" applyBorder="1" applyAlignment="1">
      <alignment horizontal="right"/>
    </xf>
    <xf numFmtId="1" fontId="13" fillId="26" borderId="10" xfId="0" applyNumberFormat="1" applyFont="1" applyFill="1" applyBorder="1" applyAlignment="1">
      <alignment horizontal="right"/>
    </xf>
    <xf numFmtId="1" fontId="13" fillId="26" borderId="10" xfId="0" applyNumberFormat="1" applyFont="1" applyFill="1" applyBorder="1"/>
    <xf numFmtId="1" fontId="11" fillId="26" borderId="10" xfId="0" applyNumberFormat="1" applyFont="1" applyFill="1" applyBorder="1" applyAlignment="1">
      <alignment horizontal="right"/>
    </xf>
    <xf numFmtId="1" fontId="11" fillId="0" borderId="10" xfId="0" applyNumberFormat="1" applyFont="1" applyFill="1" applyBorder="1" applyAlignment="1">
      <alignment horizontal="right"/>
    </xf>
    <xf numFmtId="1" fontId="11" fillId="26" borderId="10" xfId="0" applyNumberFormat="1" applyFont="1" applyFill="1" applyBorder="1"/>
    <xf numFmtId="0" fontId="13" fillId="0" borderId="0" xfId="0" applyFont="1" applyFill="1" applyAlignment="1">
      <alignment horizontal="center"/>
    </xf>
    <xf numFmtId="1" fontId="5" fillId="0" borderId="10" xfId="0" applyNumberFormat="1" applyFont="1" applyFill="1" applyBorder="1" applyAlignment="1">
      <alignment horizontal="right"/>
    </xf>
    <xf numFmtId="1" fontId="6" fillId="26" borderId="10" xfId="0" applyNumberFormat="1" applyFont="1" applyFill="1" applyBorder="1" applyAlignment="1">
      <alignment horizontal="right"/>
    </xf>
    <xf numFmtId="0" fontId="52" fillId="0" borderId="15" xfId="0" applyFont="1" applyFill="1" applyBorder="1" applyAlignment="1">
      <alignment vertical="center"/>
    </xf>
    <xf numFmtId="0" fontId="52" fillId="0" borderId="16" xfId="0" applyFont="1" applyFill="1" applyBorder="1" applyAlignment="1">
      <alignment vertical="center"/>
    </xf>
    <xf numFmtId="0" fontId="52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right"/>
    </xf>
    <xf numFmtId="1" fontId="0" fillId="0" borderId="0" xfId="0" applyNumberFormat="1" applyFill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7" fillId="26" borderId="10" xfId="0" applyFont="1" applyFill="1" applyBorder="1" applyAlignment="1">
      <alignment horizontal="center" vertical="center" wrapText="1"/>
    </xf>
    <xf numFmtId="0" fontId="16" fillId="26" borderId="10" xfId="0" applyFont="1" applyFill="1" applyBorder="1"/>
    <xf numFmtId="0" fontId="5" fillId="0" borderId="10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right" vertical="center" wrapText="1"/>
    </xf>
    <xf numFmtId="0" fontId="6" fillId="0" borderId="0" xfId="0" applyNumberFormat="1" applyFont="1" applyFill="1" applyAlignment="1">
      <alignment horizontal="right"/>
    </xf>
    <xf numFmtId="1" fontId="6" fillId="27" borderId="10" xfId="0" applyNumberFormat="1" applyFont="1" applyFill="1" applyBorder="1" applyAlignment="1">
      <alignment horizontal="right"/>
    </xf>
    <xf numFmtId="0" fontId="57" fillId="0" borderId="0" xfId="41" applyFont="1" applyFill="1" applyAlignment="1">
      <alignment horizontal="center" vertical="center"/>
    </xf>
    <xf numFmtId="0" fontId="9" fillId="0" borderId="0" xfId="41" applyFont="1" applyFill="1"/>
    <xf numFmtId="0" fontId="9" fillId="0" borderId="0" xfId="41" applyFont="1" applyFill="1" applyAlignment="1">
      <alignment vertical="center"/>
    </xf>
    <xf numFmtId="14" fontId="3" fillId="25" borderId="17" xfId="41" applyNumberFormat="1" applyFont="1" applyFill="1" applyBorder="1" applyAlignment="1">
      <alignment horizontal="center" vertical="center"/>
    </xf>
    <xf numFmtId="0" fontId="10" fillId="0" borderId="17" xfId="41" applyFont="1" applyFill="1" applyBorder="1" applyAlignment="1">
      <alignment vertical="center"/>
    </xf>
    <xf numFmtId="0" fontId="58" fillId="0" borderId="0" xfId="41" applyFont="1" applyFill="1" applyAlignment="1">
      <alignment horizontal="center" vertical="center"/>
    </xf>
    <xf numFmtId="0" fontId="10" fillId="0" borderId="10" xfId="41" applyFont="1" applyFill="1" applyBorder="1" applyAlignment="1">
      <alignment horizontal="center" vertical="center"/>
    </xf>
    <xf numFmtId="0" fontId="10" fillId="28" borderId="10" xfId="41" applyFont="1" applyFill="1" applyBorder="1" applyAlignment="1">
      <alignment horizontal="center" vertical="center"/>
    </xf>
    <xf numFmtId="0" fontId="9" fillId="0" borderId="0" xfId="41" applyFont="1" applyFill="1" applyAlignment="1">
      <alignment horizontal="center"/>
    </xf>
    <xf numFmtId="0" fontId="5" fillId="0" borderId="10" xfId="41" applyFont="1" applyFill="1" applyBorder="1" applyAlignment="1">
      <alignment horizontal="center" vertical="center" wrapText="1"/>
    </xf>
    <xf numFmtId="0" fontId="10" fillId="28" borderId="10" xfId="41" applyFont="1" applyFill="1" applyBorder="1" applyAlignment="1">
      <alignment horizontal="center" vertical="center" wrapText="1"/>
    </xf>
    <xf numFmtId="0" fontId="10" fillId="0" borderId="0" xfId="41" applyFont="1" applyFill="1" applyAlignment="1">
      <alignment horizontal="center"/>
    </xf>
    <xf numFmtId="0" fontId="10" fillId="0" borderId="0" xfId="41" applyFont="1" applyFill="1"/>
    <xf numFmtId="0" fontId="9" fillId="0" borderId="10" xfId="41" quotePrefix="1" applyFont="1" applyFill="1" applyBorder="1" applyAlignment="1">
      <alignment horizontal="center" vertical="center" wrapText="1"/>
    </xf>
    <xf numFmtId="0" fontId="10" fillId="0" borderId="10" xfId="41" applyFont="1" applyFill="1" applyBorder="1" applyAlignment="1">
      <alignment horizontal="center" vertical="center" wrapText="1"/>
    </xf>
    <xf numFmtId="0" fontId="9" fillId="0" borderId="10" xfId="41" quotePrefix="1" applyFont="1" applyFill="1" applyBorder="1" applyAlignment="1">
      <alignment horizontal="center" vertical="top"/>
    </xf>
    <xf numFmtId="0" fontId="9" fillId="0" borderId="10" xfId="41" applyFont="1" applyFill="1" applyBorder="1" applyAlignment="1">
      <alignment horizontal="left" vertical="top" wrapText="1"/>
    </xf>
    <xf numFmtId="1" fontId="9" fillId="0" borderId="10" xfId="43" applyNumberFormat="1" applyFont="1" applyFill="1" applyBorder="1" applyAlignment="1" applyProtection="1">
      <alignment horizontal="right" vertical="top"/>
    </xf>
    <xf numFmtId="1" fontId="9" fillId="0" borderId="10" xfId="41" applyNumberFormat="1" applyFont="1" applyFill="1" applyBorder="1" applyAlignment="1">
      <alignment horizontal="right" vertical="top"/>
    </xf>
    <xf numFmtId="1" fontId="9" fillId="28" borderId="10" xfId="41" applyNumberFormat="1" applyFont="1" applyFill="1" applyBorder="1" applyAlignment="1">
      <alignment horizontal="right" vertical="top"/>
    </xf>
    <xf numFmtId="1" fontId="10" fillId="0" borderId="10" xfId="41" applyNumberFormat="1" applyFont="1" applyFill="1" applyBorder="1" applyAlignment="1">
      <alignment horizontal="right" vertical="top" wrapText="1"/>
    </xf>
    <xf numFmtId="1" fontId="10" fillId="28" borderId="10" xfId="41" applyNumberFormat="1" applyFont="1" applyFill="1" applyBorder="1" applyAlignment="1">
      <alignment horizontal="right" vertical="top" wrapText="1"/>
    </xf>
    <xf numFmtId="0" fontId="10" fillId="0" borderId="10" xfId="41" applyFont="1" applyFill="1" applyBorder="1" applyAlignment="1">
      <alignment horizontal="right" vertical="top" wrapText="1"/>
    </xf>
    <xf numFmtId="2" fontId="10" fillId="0" borderId="10" xfId="41" applyNumberFormat="1" applyFont="1" applyFill="1" applyBorder="1" applyAlignment="1">
      <alignment horizontal="right" vertical="top" wrapText="1"/>
    </xf>
    <xf numFmtId="2" fontId="10" fillId="28" borderId="10" xfId="41" applyNumberFormat="1" applyFont="1" applyFill="1" applyBorder="1" applyAlignment="1">
      <alignment horizontal="right" vertical="top" wrapText="1"/>
    </xf>
    <xf numFmtId="0" fontId="10" fillId="0" borderId="10" xfId="41" quotePrefix="1" applyFont="1" applyFill="1" applyBorder="1" applyAlignment="1">
      <alignment horizontal="center" vertical="center"/>
    </xf>
    <xf numFmtId="0" fontId="10" fillId="0" borderId="10" xfId="41" applyFont="1" applyFill="1" applyBorder="1" applyAlignment="1">
      <alignment horizontal="left" vertical="top" wrapText="1"/>
    </xf>
    <xf numFmtId="1" fontId="10" fillId="0" borderId="10" xfId="43" applyNumberFormat="1" applyFont="1" applyFill="1" applyBorder="1" applyAlignment="1" applyProtection="1">
      <alignment horizontal="right" vertical="top"/>
    </xf>
    <xf numFmtId="1" fontId="10" fillId="28" borderId="10" xfId="43" applyNumberFormat="1" applyFont="1" applyFill="1" applyBorder="1" applyAlignment="1" applyProtection="1">
      <alignment horizontal="right" vertical="top"/>
    </xf>
    <xf numFmtId="0" fontId="10" fillId="0" borderId="10" xfId="41" quotePrefix="1" applyFont="1" applyFill="1" applyBorder="1" applyAlignment="1">
      <alignment horizontal="right" vertical="center"/>
    </xf>
    <xf numFmtId="0" fontId="9" fillId="0" borderId="10" xfId="41" quotePrefix="1" applyFont="1" applyFill="1" applyBorder="1" applyAlignment="1">
      <alignment horizontal="right" vertical="center"/>
    </xf>
    <xf numFmtId="2" fontId="10" fillId="0" borderId="10" xfId="43" applyNumberFormat="1" applyFont="1" applyFill="1" applyBorder="1" applyAlignment="1" applyProtection="1">
      <alignment horizontal="right" vertical="top"/>
    </xf>
    <xf numFmtId="2" fontId="9" fillId="0" borderId="10" xfId="41" applyNumberFormat="1" applyFont="1" applyFill="1" applyBorder="1" applyAlignment="1">
      <alignment horizontal="right" vertical="top"/>
    </xf>
    <xf numFmtId="2" fontId="10" fillId="28" borderId="10" xfId="43" applyNumberFormat="1" applyFont="1" applyFill="1" applyBorder="1" applyAlignment="1" applyProtection="1">
      <alignment horizontal="right" vertical="top"/>
    </xf>
    <xf numFmtId="0" fontId="10" fillId="0" borderId="10" xfId="41" applyFont="1" applyFill="1" applyBorder="1" applyAlignment="1">
      <alignment vertical="center"/>
    </xf>
    <xf numFmtId="0" fontId="60" fillId="0" borderId="18" xfId="41" applyFont="1" applyFill="1" applyBorder="1" applyAlignment="1">
      <alignment vertical="center" wrapText="1"/>
    </xf>
    <xf numFmtId="0" fontId="60" fillId="0" borderId="0" xfId="41" applyFont="1" applyFill="1" applyBorder="1" applyAlignment="1">
      <alignment horizontal="left" vertical="center" wrapText="1"/>
    </xf>
    <xf numFmtId="0" fontId="61" fillId="0" borderId="0" xfId="41" applyFont="1" applyFill="1" applyBorder="1" applyAlignment="1">
      <alignment vertical="center" wrapText="1"/>
    </xf>
    <xf numFmtId="0" fontId="60" fillId="0" borderId="0" xfId="41" applyFont="1" applyFill="1" applyAlignment="1">
      <alignment vertical="center"/>
    </xf>
    <xf numFmtId="0" fontId="13" fillId="0" borderId="0" xfId="39" applyFont="1" applyFill="1" applyBorder="1" applyAlignment="1">
      <alignment wrapText="1"/>
    </xf>
    <xf numFmtId="1" fontId="62" fillId="0" borderId="0" xfId="39" applyNumberFormat="1" applyFont="1" applyFill="1" applyBorder="1" applyAlignment="1">
      <alignment horizontal="center"/>
    </xf>
    <xf numFmtId="173" fontId="62" fillId="0" borderId="0" xfId="39" applyNumberFormat="1" applyFont="1" applyFill="1" applyBorder="1" applyAlignment="1">
      <alignment horizontal="center"/>
    </xf>
    <xf numFmtId="173" fontId="63" fillId="0" borderId="0" xfId="39" applyNumberFormat="1" applyFont="1" applyFill="1" applyBorder="1" applyAlignment="1">
      <alignment horizontal="center"/>
    </xf>
    <xf numFmtId="0" fontId="11" fillId="0" borderId="0" xfId="39" applyFont="1" applyFill="1" applyBorder="1" applyAlignment="1">
      <alignment wrapText="1"/>
    </xf>
    <xf numFmtId="174" fontId="11" fillId="0" borderId="0" xfId="39" applyNumberFormat="1" applyFont="1" applyFill="1" applyBorder="1" applyAlignment="1">
      <alignment wrapText="1"/>
    </xf>
    <xf numFmtId="174" fontId="64" fillId="0" borderId="0" xfId="39" applyNumberFormat="1" applyFont="1" applyFill="1" applyBorder="1" applyAlignment="1">
      <alignment wrapText="1"/>
    </xf>
    <xf numFmtId="0" fontId="6" fillId="0" borderId="0" xfId="41" applyFont="1" applyFill="1" applyAlignment="1">
      <alignment vertical="center" wrapText="1"/>
    </xf>
    <xf numFmtId="0" fontId="6" fillId="0" borderId="0" xfId="41" applyFont="1" applyFill="1" applyAlignment="1">
      <alignment wrapText="1"/>
    </xf>
    <xf numFmtId="0" fontId="58" fillId="0" borderId="17" xfId="41" applyFont="1" applyFill="1" applyBorder="1" applyAlignment="1">
      <alignment horizontal="center" vertical="center"/>
    </xf>
    <xf numFmtId="0" fontId="58" fillId="0" borderId="0" xfId="41" applyFont="1" applyFill="1" applyBorder="1" applyAlignment="1">
      <alignment horizontal="center" vertical="center"/>
    </xf>
    <xf numFmtId="0" fontId="10" fillId="0" borderId="10" xfId="41" quotePrefix="1" applyFont="1" applyFill="1" applyBorder="1" applyAlignment="1">
      <alignment horizontal="center" vertical="center" wrapText="1"/>
    </xf>
    <xf numFmtId="0" fontId="5" fillId="0" borderId="15" xfId="41" applyFont="1" applyFill="1" applyBorder="1" applyAlignment="1">
      <alignment horizontal="center" vertical="center" wrapText="1"/>
    </xf>
    <xf numFmtId="0" fontId="6" fillId="0" borderId="0" xfId="41" applyFont="1" applyFill="1" applyAlignment="1">
      <alignment horizontal="center"/>
    </xf>
    <xf numFmtId="0" fontId="10" fillId="0" borderId="15" xfId="41" applyFont="1" applyFill="1" applyBorder="1" applyAlignment="1">
      <alignment vertical="center" wrapText="1"/>
    </xf>
    <xf numFmtId="0" fontId="10" fillId="0" borderId="10" xfId="41" applyFont="1" applyFill="1" applyBorder="1" applyAlignment="1">
      <alignment wrapText="1"/>
    </xf>
    <xf numFmtId="0" fontId="10" fillId="0" borderId="10" xfId="41" applyFont="1" applyFill="1" applyBorder="1" applyAlignment="1">
      <alignment horizontal="center" wrapText="1"/>
    </xf>
    <xf numFmtId="0" fontId="10" fillId="28" borderId="10" xfId="41" applyFont="1" applyFill="1" applyBorder="1" applyAlignment="1">
      <alignment horizontal="center" wrapText="1"/>
    </xf>
    <xf numFmtId="0" fontId="9" fillId="0" borderId="10" xfId="41" applyFont="1" applyFill="1" applyBorder="1" applyAlignment="1"/>
    <xf numFmtId="0" fontId="6" fillId="0" borderId="10" xfId="41" quotePrefix="1" applyFont="1" applyFill="1" applyBorder="1" applyAlignment="1">
      <alignment horizontal="center" vertical="top"/>
    </xf>
    <xf numFmtId="1" fontId="9" fillId="0" borderId="10" xfId="41" applyNumberFormat="1" applyFont="1" applyFill="1" applyBorder="1" applyAlignment="1">
      <alignment horizontal="left" vertical="top" wrapText="1"/>
    </xf>
    <xf numFmtId="1" fontId="9" fillId="0" borderId="10" xfId="43" applyNumberFormat="1" applyFont="1" applyFill="1" applyBorder="1" applyAlignment="1" applyProtection="1">
      <alignment horizontal="right"/>
    </xf>
    <xf numFmtId="1" fontId="9" fillId="28" borderId="10" xfId="41" applyNumberFormat="1" applyFont="1" applyFill="1" applyBorder="1" applyAlignment="1">
      <alignment horizontal="right"/>
    </xf>
    <xf numFmtId="1" fontId="9" fillId="28" borderId="10" xfId="39" applyNumberFormat="1" applyFont="1" applyFill="1" applyBorder="1" applyAlignment="1">
      <alignment horizontal="right"/>
    </xf>
    <xf numFmtId="2" fontId="65" fillId="0" borderId="10" xfId="41" applyNumberFormat="1" applyFont="1" applyFill="1" applyBorder="1" applyAlignment="1">
      <alignment horizontal="right"/>
    </xf>
    <xf numFmtId="1" fontId="66" fillId="28" borderId="10" xfId="41" applyNumberFormat="1" applyFont="1" applyFill="1" applyBorder="1" applyAlignment="1">
      <alignment horizontal="right"/>
    </xf>
    <xf numFmtId="1" fontId="10" fillId="0" borderId="10" xfId="41" applyNumberFormat="1" applyFont="1" applyFill="1" applyBorder="1" applyAlignment="1">
      <alignment horizontal="left" vertical="top" wrapText="1"/>
    </xf>
    <xf numFmtId="1" fontId="10" fillId="0" borderId="10" xfId="41" applyNumberFormat="1" applyFont="1" applyFill="1" applyBorder="1" applyAlignment="1">
      <alignment horizontal="right" wrapText="1"/>
    </xf>
    <xf numFmtId="1" fontId="10" fillId="28" borderId="10" xfId="41" applyNumberFormat="1" applyFont="1" applyFill="1" applyBorder="1" applyAlignment="1">
      <alignment horizontal="right" wrapText="1"/>
    </xf>
    <xf numFmtId="1" fontId="67" fillId="28" borderId="10" xfId="41" applyNumberFormat="1" applyFont="1" applyFill="1" applyBorder="1" applyAlignment="1">
      <alignment horizontal="right" wrapText="1"/>
    </xf>
    <xf numFmtId="1" fontId="10" fillId="0" borderId="15" xfId="41" applyNumberFormat="1" applyFont="1" applyFill="1" applyBorder="1" applyAlignment="1">
      <alignment vertical="top" wrapText="1"/>
    </xf>
    <xf numFmtId="1" fontId="10" fillId="0" borderId="10" xfId="41" applyNumberFormat="1" applyFont="1" applyFill="1" applyBorder="1" applyAlignment="1">
      <alignment wrapText="1"/>
    </xf>
    <xf numFmtId="1" fontId="10" fillId="0" borderId="10" xfId="43" applyNumberFormat="1" applyFont="1" applyFill="1" applyBorder="1" applyAlignment="1" applyProtection="1">
      <alignment horizontal="right"/>
    </xf>
    <xf numFmtId="1" fontId="10" fillId="28" borderId="10" xfId="43" applyNumberFormat="1" applyFont="1" applyFill="1" applyBorder="1" applyAlignment="1" applyProtection="1">
      <alignment horizontal="right"/>
    </xf>
    <xf numFmtId="1" fontId="10" fillId="0" borderId="16" xfId="41" applyNumberFormat="1" applyFont="1" applyFill="1" applyBorder="1" applyAlignment="1">
      <alignment vertical="top" wrapText="1"/>
    </xf>
    <xf numFmtId="1" fontId="10" fillId="28" borderId="16" xfId="41" applyNumberFormat="1" applyFont="1" applyFill="1" applyBorder="1" applyAlignment="1">
      <alignment vertical="top" wrapText="1"/>
    </xf>
    <xf numFmtId="1" fontId="10" fillId="28" borderId="14" xfId="41" applyNumberFormat="1" applyFont="1" applyFill="1" applyBorder="1" applyAlignment="1">
      <alignment vertical="top" wrapText="1"/>
    </xf>
    <xf numFmtId="2" fontId="65" fillId="0" borderId="10" xfId="41" applyNumberFormat="1" applyFont="1" applyFill="1" applyBorder="1" applyAlignment="1">
      <alignment horizontal="right" vertical="top"/>
    </xf>
    <xf numFmtId="1" fontId="9" fillId="28" borderId="10" xfId="41" applyNumberFormat="1" applyFont="1" applyFill="1" applyBorder="1" applyAlignment="1">
      <alignment horizontal="right" vertical="center"/>
    </xf>
    <xf numFmtId="1" fontId="66" fillId="28" borderId="10" xfId="41" applyNumberFormat="1" applyFont="1" applyFill="1" applyBorder="1" applyAlignment="1">
      <alignment horizontal="right" vertical="center"/>
    </xf>
    <xf numFmtId="1" fontId="9" fillId="28" borderId="10" xfId="39" applyNumberFormat="1" applyFont="1" applyFill="1" applyBorder="1" applyAlignment="1">
      <alignment horizontal="right" vertical="center"/>
    </xf>
    <xf numFmtId="2" fontId="65" fillId="0" borderId="10" xfId="41" applyNumberFormat="1" applyFont="1" applyFill="1" applyBorder="1" applyAlignment="1">
      <alignment horizontal="right" vertical="center"/>
    </xf>
    <xf numFmtId="1" fontId="66" fillId="28" borderId="10" xfId="39" applyNumberFormat="1" applyFont="1" applyFill="1" applyBorder="1" applyAlignment="1">
      <alignment wrapText="1"/>
    </xf>
    <xf numFmtId="1" fontId="66" fillId="28" borderId="10" xfId="39" applyNumberFormat="1" applyFont="1" applyFill="1" applyBorder="1" applyAlignment="1">
      <alignment vertical="center" wrapText="1"/>
    </xf>
    <xf numFmtId="1" fontId="66" fillId="28" borderId="10" xfId="39" applyNumberFormat="1" applyFont="1" applyFill="1" applyBorder="1" applyAlignment="1">
      <alignment horizontal="right" vertical="center" wrapText="1"/>
    </xf>
    <xf numFmtId="1" fontId="10" fillId="28" borderId="10" xfId="43" applyNumberFormat="1" applyFont="1" applyFill="1" applyBorder="1" applyAlignment="1" applyProtection="1">
      <alignment horizontal="right" vertical="center"/>
    </xf>
    <xf numFmtId="1" fontId="9" fillId="0" borderId="0" xfId="41" applyNumberFormat="1" applyFont="1" applyFill="1"/>
    <xf numFmtId="14" fontId="68" fillId="0" borderId="17" xfId="39" applyNumberFormat="1" applyFont="1" applyFill="1" applyBorder="1" applyAlignment="1">
      <alignment horizontal="center" vertical="top" wrapText="1"/>
    </xf>
    <xf numFmtId="0" fontId="69" fillId="0" borderId="0" xfId="39" applyFont="1" applyFill="1" applyBorder="1" applyAlignment="1">
      <alignment wrapText="1"/>
    </xf>
    <xf numFmtId="0" fontId="71" fillId="0" borderId="10" xfId="39" applyFont="1" applyFill="1" applyBorder="1" applyAlignment="1">
      <alignment horizontal="center" vertical="top" wrapText="1"/>
    </xf>
    <xf numFmtId="0" fontId="74" fillId="0" borderId="0" xfId="39" applyFont="1" applyFill="1" applyBorder="1" applyAlignment="1">
      <alignment horizontal="center" vertical="top" wrapText="1"/>
    </xf>
    <xf numFmtId="173" fontId="71" fillId="0" borderId="10" xfId="39" applyNumberFormat="1" applyFont="1" applyFill="1" applyBorder="1" applyAlignment="1">
      <alignment horizontal="center" wrapText="1"/>
    </xf>
    <xf numFmtId="0" fontId="74" fillId="0" borderId="0" xfId="39" applyFont="1" applyFill="1" applyBorder="1" applyAlignment="1">
      <alignment wrapText="1"/>
    </xf>
    <xf numFmtId="0" fontId="71" fillId="0" borderId="10" xfId="39" applyFont="1" applyFill="1" applyBorder="1" applyAlignment="1">
      <alignment vertical="top" wrapText="1"/>
    </xf>
    <xf numFmtId="0" fontId="73" fillId="0" borderId="10" xfId="40" applyFont="1" applyFill="1" applyBorder="1" applyAlignment="1">
      <alignment horizontal="center" vertical="center"/>
    </xf>
    <xf numFmtId="0" fontId="73" fillId="0" borderId="10" xfId="40" applyFont="1" applyFill="1" applyBorder="1"/>
    <xf numFmtId="1" fontId="69" fillId="0" borderId="10" xfId="39" applyNumberFormat="1" applyFont="1" applyFill="1" applyBorder="1" applyAlignment="1">
      <alignment wrapText="1"/>
    </xf>
    <xf numFmtId="0" fontId="63" fillId="0" borderId="10" xfId="40" applyFont="1" applyFill="1" applyBorder="1" applyAlignment="1">
      <alignment horizontal="center" vertical="center"/>
    </xf>
    <xf numFmtId="0" fontId="63" fillId="0" borderId="10" xfId="40" applyFont="1" applyFill="1" applyBorder="1"/>
    <xf numFmtId="1" fontId="64" fillId="0" borderId="10" xfId="39" applyNumberFormat="1" applyFont="1" applyFill="1" applyBorder="1" applyAlignment="1">
      <alignment wrapText="1"/>
    </xf>
    <xf numFmtId="0" fontId="64" fillId="0" borderId="0" xfId="39" applyFont="1" applyFill="1" applyBorder="1" applyAlignment="1">
      <alignment wrapText="1"/>
    </xf>
    <xf numFmtId="0" fontId="73" fillId="0" borderId="10" xfId="39" applyFont="1" applyFill="1" applyBorder="1" applyAlignment="1">
      <alignment horizontal="center"/>
    </xf>
    <xf numFmtId="0" fontId="73" fillId="0" borderId="10" xfId="39" applyFont="1" applyFill="1" applyBorder="1"/>
    <xf numFmtId="0" fontId="69" fillId="0" borderId="0" xfId="39" applyFont="1" applyFill="1" applyBorder="1" applyAlignment="1">
      <alignment horizontal="center" wrapText="1"/>
    </xf>
    <xf numFmtId="0" fontId="64" fillId="0" borderId="0" xfId="39" applyFont="1" applyFill="1" applyBorder="1" applyAlignment="1">
      <alignment horizontal="left" wrapText="1"/>
    </xf>
    <xf numFmtId="14" fontId="44" fillId="0" borderId="17" xfId="39" applyNumberFormat="1" applyFont="1" applyFill="1" applyBorder="1" applyAlignment="1">
      <alignment horizontal="center" vertical="top" wrapText="1"/>
    </xf>
    <xf numFmtId="14" fontId="71" fillId="28" borderId="10" xfId="39" applyNumberFormat="1" applyFont="1" applyFill="1" applyBorder="1" applyAlignment="1">
      <alignment horizontal="center" vertical="top" wrapText="1"/>
    </xf>
    <xf numFmtId="2" fontId="69" fillId="0" borderId="10" xfId="39" applyNumberFormat="1" applyFont="1" applyFill="1" applyBorder="1" applyAlignment="1">
      <alignment wrapText="1"/>
    </xf>
    <xf numFmtId="1" fontId="69" fillId="0" borderId="10" xfId="39" applyNumberFormat="1" applyFont="1" applyFill="1" applyBorder="1" applyAlignment="1">
      <alignment horizontal="right" wrapText="1"/>
    </xf>
    <xf numFmtId="1" fontId="13" fillId="0" borderId="10" xfId="39" applyNumberFormat="1" applyFont="1" applyFill="1" applyBorder="1" applyAlignment="1">
      <alignment horizontal="right"/>
    </xf>
    <xf numFmtId="2" fontId="64" fillId="0" borderId="10" xfId="39" applyNumberFormat="1" applyFont="1" applyFill="1" applyBorder="1" applyAlignment="1">
      <alignment wrapText="1"/>
    </xf>
    <xf numFmtId="1" fontId="64" fillId="0" borderId="10" xfId="39" applyNumberFormat="1" applyFont="1" applyFill="1" applyBorder="1" applyAlignment="1">
      <alignment horizontal="right" wrapText="1"/>
    </xf>
    <xf numFmtId="0" fontId="71" fillId="0" borderId="10" xfId="39" applyFont="1" applyFill="1" applyBorder="1" applyAlignment="1">
      <alignment horizontal="right" vertical="top" wrapText="1"/>
    </xf>
    <xf numFmtId="1" fontId="11" fillId="0" borderId="10" xfId="39" applyNumberFormat="1" applyFont="1" applyFill="1" applyBorder="1"/>
    <xf numFmtId="1" fontId="63" fillId="0" borderId="10" xfId="40" applyNumberFormat="1" applyFont="1" applyFill="1" applyBorder="1"/>
    <xf numFmtId="0" fontId="63" fillId="0" borderId="10" xfId="40" applyFont="1" applyFill="1" applyBorder="1" applyAlignment="1">
      <alignment horizontal="right"/>
    </xf>
    <xf numFmtId="0" fontId="69" fillId="0" borderId="0" xfId="39" applyFont="1" applyFill="1" applyBorder="1" applyAlignment="1">
      <alignment horizontal="left" wrapText="1"/>
    </xf>
    <xf numFmtId="1" fontId="69" fillId="0" borderId="0" xfId="39" applyNumberFormat="1" applyFont="1" applyFill="1" applyBorder="1" applyAlignment="1">
      <alignment wrapText="1"/>
    </xf>
    <xf numFmtId="14" fontId="44" fillId="0" borderId="0" xfId="39" applyNumberFormat="1" applyFont="1" applyFill="1" applyBorder="1" applyAlignment="1">
      <alignment horizontal="center" vertical="top" wrapText="1"/>
    </xf>
    <xf numFmtId="0" fontId="11" fillId="0" borderId="10" xfId="39" applyFont="1" applyFill="1" applyBorder="1" applyAlignment="1">
      <alignment horizontal="center" vertical="top" wrapText="1"/>
    </xf>
    <xf numFmtId="0" fontId="4" fillId="0" borderId="10" xfId="39" applyFont="1" applyFill="1" applyBorder="1" applyAlignment="1">
      <alignment horizontal="center" vertical="top" wrapText="1"/>
    </xf>
    <xf numFmtId="0" fontId="77" fillId="0" borderId="10" xfId="39" applyFont="1" applyFill="1" applyBorder="1" applyAlignment="1">
      <alignment horizontal="center" vertical="top" wrapText="1"/>
    </xf>
    <xf numFmtId="0" fontId="76" fillId="0" borderId="10" xfId="39" applyFont="1" applyFill="1" applyBorder="1" applyAlignment="1">
      <alignment horizontal="center" wrapText="1"/>
    </xf>
    <xf numFmtId="0" fontId="78" fillId="0" borderId="10" xfId="40" applyFont="1" applyFill="1" applyBorder="1"/>
    <xf numFmtId="1" fontId="13" fillId="0" borderId="10" xfId="39" applyNumberFormat="1" applyFont="1" applyFill="1" applyBorder="1" applyAlignment="1">
      <alignment wrapText="1"/>
    </xf>
    <xf numFmtId="1" fontId="13" fillId="0" borderId="10" xfId="39" applyNumberFormat="1" applyFont="1" applyFill="1" applyBorder="1" applyAlignment="1"/>
    <xf numFmtId="0" fontId="13" fillId="0" borderId="10" xfId="39" applyFont="1" applyFill="1" applyBorder="1" applyAlignment="1">
      <alignment horizontal="center" wrapText="1"/>
    </xf>
    <xf numFmtId="0" fontId="79" fillId="0" borderId="10" xfId="40" applyFont="1" applyFill="1" applyBorder="1"/>
    <xf numFmtId="1" fontId="11" fillId="0" borderId="10" xfId="39" applyNumberFormat="1" applyFont="1" applyFill="1" applyBorder="1" applyAlignment="1">
      <alignment wrapText="1"/>
    </xf>
    <xf numFmtId="0" fontId="11" fillId="0" borderId="10" xfId="39" applyFont="1" applyFill="1" applyBorder="1" applyAlignment="1">
      <alignment horizontal="center" wrapText="1"/>
    </xf>
    <xf numFmtId="0" fontId="78" fillId="0" borderId="10" xfId="39" applyFont="1" applyFill="1" applyBorder="1"/>
    <xf numFmtId="0" fontId="11" fillId="0" borderId="0" xfId="39" applyFont="1" applyFill="1" applyBorder="1" applyAlignment="1">
      <alignment horizontal="center" wrapText="1"/>
    </xf>
    <xf numFmtId="2" fontId="11" fillId="0" borderId="0" xfId="39" applyNumberFormat="1" applyFont="1" applyFill="1" applyBorder="1" applyAlignment="1">
      <alignment wrapText="1"/>
    </xf>
    <xf numFmtId="0" fontId="80" fillId="0" borderId="0" xfId="39" applyFont="1" applyFill="1" applyBorder="1" applyAlignment="1">
      <alignment horizontal="center" wrapText="1"/>
    </xf>
    <xf numFmtId="0" fontId="80" fillId="0" borderId="0" xfId="39" applyFont="1" applyFill="1" applyBorder="1" applyAlignment="1">
      <alignment wrapText="1"/>
    </xf>
    <xf numFmtId="1" fontId="81" fillId="0" borderId="0" xfId="39" applyNumberFormat="1" applyFont="1" applyFill="1" applyBorder="1" applyAlignment="1">
      <alignment horizontal="center"/>
    </xf>
    <xf numFmtId="173" fontId="81" fillId="0" borderId="0" xfId="39" applyNumberFormat="1" applyFont="1" applyFill="1" applyBorder="1" applyAlignment="1">
      <alignment horizontal="center"/>
    </xf>
    <xf numFmtId="173" fontId="82" fillId="0" borderId="0" xfId="39" applyNumberFormat="1" applyFont="1" applyFill="1" applyBorder="1" applyAlignment="1">
      <alignment horizontal="center"/>
    </xf>
    <xf numFmtId="1" fontId="81" fillId="0" borderId="0" xfId="39" applyNumberFormat="1" applyFont="1" applyFill="1" applyBorder="1"/>
    <xf numFmtId="173" fontId="81" fillId="0" borderId="0" xfId="39" applyNumberFormat="1" applyFont="1" applyFill="1" applyBorder="1"/>
    <xf numFmtId="0" fontId="83" fillId="0" borderId="0" xfId="39" applyFont="1" applyFill="1" applyBorder="1" applyAlignment="1">
      <alignment horizontal="center" wrapText="1"/>
    </xf>
    <xf numFmtId="0" fontId="83" fillId="0" borderId="0" xfId="39" applyFont="1" applyFill="1" applyBorder="1" applyAlignment="1">
      <alignment wrapText="1"/>
    </xf>
    <xf numFmtId="174" fontId="83" fillId="0" borderId="0" xfId="39" applyNumberFormat="1" applyFont="1" applyFill="1" applyBorder="1" applyAlignment="1">
      <alignment wrapText="1"/>
    </xf>
    <xf numFmtId="174" fontId="84" fillId="0" borderId="0" xfId="39" applyNumberFormat="1" applyFont="1" applyFill="1" applyBorder="1" applyAlignment="1">
      <alignment wrapText="1"/>
    </xf>
    <xf numFmtId="0" fontId="13" fillId="0" borderId="0" xfId="39" applyFont="1" applyFill="1" applyBorder="1" applyAlignment="1">
      <alignment horizontal="center" wrapText="1"/>
    </xf>
    <xf numFmtId="2" fontId="13" fillId="0" borderId="10" xfId="39" applyNumberFormat="1" applyFont="1" applyFill="1" applyBorder="1" applyAlignment="1">
      <alignment wrapText="1"/>
    </xf>
    <xf numFmtId="2" fontId="13" fillId="0" borderId="10" xfId="39" applyNumberFormat="1" applyFont="1" applyFill="1" applyBorder="1" applyAlignment="1"/>
    <xf numFmtId="2" fontId="11" fillId="0" borderId="10" xfId="39" applyNumberFormat="1" applyFont="1" applyFill="1" applyBorder="1" applyAlignment="1">
      <alignment wrapText="1"/>
    </xf>
    <xf numFmtId="0" fontId="78" fillId="0" borderId="10" xfId="39" applyFont="1" applyFill="1" applyBorder="1" applyAlignment="1">
      <alignment vertical="top" wrapText="1"/>
    </xf>
    <xf numFmtId="1" fontId="62" fillId="0" borderId="0" xfId="39" applyNumberFormat="1" applyFont="1" applyFill="1" applyBorder="1"/>
    <xf numFmtId="173" fontId="62" fillId="0" borderId="0" xfId="39" applyNumberFormat="1" applyFont="1" applyFill="1" applyBorder="1"/>
    <xf numFmtId="0" fontId="83" fillId="0" borderId="0" xfId="39" applyFont="1" applyFill="1" applyBorder="1" applyAlignment="1">
      <alignment horizontal="right" vertical="top" wrapText="1"/>
    </xf>
    <xf numFmtId="173" fontId="12" fillId="0" borderId="10" xfId="39" applyNumberFormat="1" applyFont="1" applyFill="1" applyBorder="1" applyAlignment="1">
      <alignment horizontal="center" vertical="top" wrapText="1"/>
    </xf>
    <xf numFmtId="0" fontId="13" fillId="0" borderId="0" xfId="39" applyFont="1" applyFill="1" applyBorder="1" applyAlignment="1">
      <alignment horizontal="center" vertical="top" wrapText="1"/>
    </xf>
    <xf numFmtId="173" fontId="77" fillId="0" borderId="10" xfId="39" applyNumberFormat="1" applyFont="1" applyFill="1" applyBorder="1" applyAlignment="1">
      <alignment horizontal="center" vertical="top" wrapText="1"/>
    </xf>
    <xf numFmtId="0" fontId="10" fillId="0" borderId="10" xfId="40" applyFont="1" applyFill="1" applyBorder="1" applyAlignment="1">
      <alignment horizontal="center" vertical="center"/>
    </xf>
    <xf numFmtId="0" fontId="79" fillId="0" borderId="10" xfId="40" applyFont="1" applyFill="1" applyBorder="1" applyAlignment="1">
      <alignment horizontal="center" vertical="center"/>
    </xf>
    <xf numFmtId="0" fontId="78" fillId="0" borderId="10" xfId="40" applyFont="1" applyFill="1" applyBorder="1" applyAlignment="1">
      <alignment horizontal="center" vertical="center"/>
    </xf>
    <xf numFmtId="0" fontId="77" fillId="0" borderId="15" xfId="39" applyFont="1" applyFill="1" applyBorder="1" applyAlignment="1">
      <alignment horizontal="center" vertical="top" wrapText="1"/>
    </xf>
    <xf numFmtId="0" fontId="78" fillId="0" borderId="0" xfId="39" applyFont="1" applyFill="1" applyBorder="1" applyAlignment="1">
      <alignment horizontal="center"/>
    </xf>
    <xf numFmtId="0" fontId="85" fillId="0" borderId="0" xfId="39" applyFont="1" applyFill="1" applyBorder="1" applyAlignment="1">
      <alignment horizontal="center"/>
    </xf>
    <xf numFmtId="172" fontId="13" fillId="0" borderId="0" xfId="39" applyNumberFormat="1" applyFont="1" applyFill="1" applyBorder="1" applyAlignment="1">
      <alignment wrapText="1"/>
    </xf>
    <xf numFmtId="2" fontId="13" fillId="0" borderId="0" xfId="39" applyNumberFormat="1" applyFont="1" applyFill="1" applyBorder="1" applyAlignment="1">
      <alignment wrapText="1"/>
    </xf>
    <xf numFmtId="173" fontId="11" fillId="0" borderId="10" xfId="39" applyNumberFormat="1" applyFont="1" applyFill="1" applyBorder="1" applyAlignment="1">
      <alignment horizontal="center" vertical="top" wrapText="1"/>
    </xf>
    <xf numFmtId="0" fontId="86" fillId="0" borderId="0" xfId="39" applyFont="1" applyFill="1" applyBorder="1" applyAlignment="1">
      <alignment horizontal="center" vertical="top" wrapText="1"/>
    </xf>
    <xf numFmtId="0" fontId="76" fillId="0" borderId="10" xfId="40" applyFont="1" applyFill="1" applyBorder="1" applyAlignment="1">
      <alignment horizontal="center" vertical="center"/>
    </xf>
    <xf numFmtId="0" fontId="76" fillId="0" borderId="10" xfId="40" applyFont="1" applyFill="1" applyBorder="1"/>
    <xf numFmtId="2" fontId="13" fillId="0" borderId="10" xfId="40" applyNumberFormat="1" applyFont="1" applyFill="1" applyBorder="1" applyAlignment="1">
      <alignment horizontal="right"/>
    </xf>
    <xf numFmtId="0" fontId="62" fillId="0" borderId="10" xfId="40" applyFont="1" applyFill="1" applyBorder="1" applyAlignment="1">
      <alignment horizontal="center" vertical="center"/>
    </xf>
    <xf numFmtId="0" fontId="62" fillId="0" borderId="10" xfId="40" applyFont="1" applyFill="1" applyBorder="1"/>
    <xf numFmtId="2" fontId="11" fillId="0" borderId="10" xfId="40" applyNumberFormat="1" applyFont="1" applyFill="1" applyBorder="1" applyAlignment="1">
      <alignment horizontal="right"/>
    </xf>
    <xf numFmtId="0" fontId="76" fillId="0" borderId="0" xfId="39" applyFont="1" applyFill="1" applyBorder="1" applyAlignment="1">
      <alignment horizontal="center"/>
    </xf>
    <xf numFmtId="0" fontId="76" fillId="0" borderId="10" xfId="39" applyFont="1" applyFill="1" applyBorder="1"/>
    <xf numFmtId="0" fontId="87" fillId="0" borderId="0" xfId="39" applyFont="1" applyFill="1" applyBorder="1" applyAlignment="1">
      <alignment horizontal="center"/>
    </xf>
    <xf numFmtId="0" fontId="76" fillId="0" borderId="10" xfId="39" applyFont="1" applyFill="1" applyBorder="1" applyAlignment="1">
      <alignment vertical="top" wrapText="1"/>
    </xf>
    <xf numFmtId="0" fontId="13" fillId="0" borderId="0" xfId="39" applyFont="1" applyFill="1" applyBorder="1" applyAlignment="1">
      <alignment vertical="top" wrapText="1"/>
    </xf>
    <xf numFmtId="0" fontId="62" fillId="0" borderId="10" xfId="39" applyFont="1" applyFill="1" applyBorder="1" applyAlignment="1">
      <alignment horizontal="center"/>
    </xf>
    <xf numFmtId="0" fontId="81" fillId="0" borderId="10" xfId="39" applyFont="1" applyFill="1" applyBorder="1" applyAlignment="1">
      <alignment horizontal="center"/>
    </xf>
    <xf numFmtId="0" fontId="76" fillId="0" borderId="10" xfId="39" applyFont="1" applyFill="1" applyBorder="1" applyAlignment="1">
      <alignment wrapText="1"/>
    </xf>
    <xf numFmtId="14" fontId="90" fillId="0" borderId="0" xfId="39" applyNumberFormat="1" applyFont="1" applyFill="1" applyBorder="1" applyAlignment="1">
      <alignment horizontal="center" vertical="top" wrapText="1"/>
    </xf>
    <xf numFmtId="14" fontId="80" fillId="0" borderId="0" xfId="39" applyNumberFormat="1" applyFont="1" applyFill="1" applyBorder="1" applyAlignment="1">
      <alignment horizontal="right" wrapText="1"/>
    </xf>
    <xf numFmtId="0" fontId="76" fillId="0" borderId="10" xfId="39" applyFont="1" applyFill="1" applyBorder="1" applyAlignment="1">
      <alignment horizontal="center"/>
    </xf>
    <xf numFmtId="0" fontId="87" fillId="0" borderId="10" xfId="39" applyFont="1" applyFill="1" applyBorder="1" applyAlignment="1">
      <alignment horizontal="center"/>
    </xf>
    <xf numFmtId="0" fontId="81" fillId="0" borderId="0" xfId="39" applyFont="1" applyFill="1" applyBorder="1" applyAlignment="1">
      <alignment horizontal="center"/>
    </xf>
    <xf numFmtId="0" fontId="76" fillId="0" borderId="10" xfId="39" applyFont="1" applyFill="1" applyBorder="1" applyAlignment="1">
      <alignment horizontal="center" vertical="top" wrapText="1"/>
    </xf>
    <xf numFmtId="0" fontId="62" fillId="0" borderId="0" xfId="39" applyFont="1" applyFill="1" applyBorder="1" applyAlignment="1">
      <alignment horizontal="center" wrapText="1"/>
    </xf>
    <xf numFmtId="0" fontId="62" fillId="0" borderId="0" xfId="39" applyFont="1" applyFill="1" applyBorder="1" applyAlignment="1">
      <alignment wrapText="1"/>
    </xf>
    <xf numFmtId="2" fontId="77" fillId="0" borderId="10" xfId="39" applyNumberFormat="1" applyFont="1" applyFill="1" applyBorder="1" applyAlignment="1">
      <alignment horizontal="center" vertical="top" wrapText="1"/>
    </xf>
    <xf numFmtId="0" fontId="79" fillId="0" borderId="10" xfId="39" applyFont="1" applyFill="1" applyBorder="1" applyAlignment="1">
      <alignment horizontal="center"/>
    </xf>
    <xf numFmtId="0" fontId="91" fillId="0" borderId="10" xfId="39" applyFont="1" applyFill="1" applyBorder="1" applyAlignment="1">
      <alignment horizontal="center"/>
    </xf>
    <xf numFmtId="0" fontId="15" fillId="0" borderId="0" xfId="44" applyFont="1" applyFill="1" applyAlignment="1">
      <alignment horizontal="center" vertical="top"/>
    </xf>
    <xf numFmtId="14" fontId="92" fillId="0" borderId="0" xfId="44" applyNumberFormat="1" applyFont="1" applyFill="1" applyAlignment="1">
      <alignment horizontal="center"/>
    </xf>
    <xf numFmtId="39" fontId="6" fillId="0" borderId="0" xfId="42" applyFont="1" applyFill="1"/>
    <xf numFmtId="14" fontId="93" fillId="0" borderId="0" xfId="42" applyNumberFormat="1" applyFont="1" applyFill="1"/>
    <xf numFmtId="0" fontId="15" fillId="0" borderId="0" xfId="44" applyFont="1" applyFill="1"/>
    <xf numFmtId="0" fontId="17" fillId="0" borderId="0" xfId="44" applyFont="1" applyFill="1" applyBorder="1" applyAlignment="1">
      <alignment horizontal="center" vertical="top"/>
    </xf>
    <xf numFmtId="0" fontId="94" fillId="0" borderId="0" xfId="44" applyFont="1" applyFill="1" applyBorder="1" applyAlignment="1">
      <alignment horizontal="center"/>
    </xf>
    <xf numFmtId="14" fontId="67" fillId="28" borderId="0" xfId="44" applyNumberFormat="1" applyFont="1" applyFill="1" applyBorder="1" applyAlignment="1">
      <alignment horizontal="center"/>
    </xf>
    <xf numFmtId="0" fontId="66" fillId="0" borderId="19" xfId="44" applyFont="1" applyFill="1" applyBorder="1" applyAlignment="1">
      <alignment horizontal="center" vertical="top"/>
    </xf>
    <xf numFmtId="0" fontId="66" fillId="0" borderId="0" xfId="44" applyFont="1" applyFill="1" applyAlignment="1">
      <alignment horizontal="center" vertical="top"/>
    </xf>
    <xf numFmtId="0" fontId="67" fillId="0" borderId="20" xfId="44" applyFont="1" applyFill="1" applyBorder="1" applyAlignment="1">
      <alignment horizontal="center" vertical="top"/>
    </xf>
    <xf numFmtId="0" fontId="67" fillId="0" borderId="0" xfId="44" applyFont="1" applyFill="1" applyAlignment="1">
      <alignment horizontal="center" vertical="top"/>
    </xf>
    <xf numFmtId="0" fontId="17" fillId="0" borderId="21" xfId="44" applyFont="1" applyFill="1" applyBorder="1" applyAlignment="1">
      <alignment vertical="top"/>
    </xf>
    <xf numFmtId="0" fontId="17" fillId="0" borderId="10" xfId="44" applyFont="1" applyFill="1" applyBorder="1" applyAlignment="1">
      <alignment vertical="top" wrapText="1"/>
    </xf>
    <xf numFmtId="0" fontId="95" fillId="0" borderId="10" xfId="44" applyFont="1" applyFill="1" applyBorder="1" applyAlignment="1">
      <alignment vertical="top"/>
    </xf>
    <xf numFmtId="0" fontId="17" fillId="0" borderId="0" xfId="44" applyFont="1" applyFill="1"/>
    <xf numFmtId="0" fontId="95" fillId="0" borderId="14" xfId="44" applyFont="1" applyFill="1" applyBorder="1" applyAlignment="1">
      <alignment vertical="top"/>
    </xf>
    <xf numFmtId="0" fontId="96" fillId="0" borderId="21" xfId="44" applyFont="1" applyFill="1" applyBorder="1" applyAlignment="1">
      <alignment vertical="top"/>
    </xf>
    <xf numFmtId="0" fontId="96" fillId="0" borderId="10" xfId="44" applyFont="1" applyFill="1" applyBorder="1" applyAlignment="1">
      <alignment vertical="top" wrapText="1"/>
    </xf>
    <xf numFmtId="0" fontId="97" fillId="0" borderId="10" xfId="44" applyFont="1" applyFill="1" applyBorder="1" applyAlignment="1">
      <alignment vertical="top"/>
    </xf>
    <xf numFmtId="0" fontId="97" fillId="0" borderId="14" xfId="44" applyFont="1" applyFill="1" applyBorder="1" applyAlignment="1">
      <alignment vertical="top"/>
    </xf>
    <xf numFmtId="0" fontId="96" fillId="0" borderId="0" xfId="44" applyFont="1" applyFill="1"/>
    <xf numFmtId="0" fontId="15" fillId="0" borderId="21" xfId="44" applyFont="1" applyFill="1" applyBorder="1" applyAlignment="1">
      <alignment vertical="top"/>
    </xf>
    <xf numFmtId="0" fontId="98" fillId="0" borderId="10" xfId="44" applyFont="1" applyFill="1" applyBorder="1" applyAlignment="1">
      <alignment vertical="top" wrapText="1"/>
    </xf>
    <xf numFmtId="0" fontId="99" fillId="0" borderId="10" xfId="44" applyFont="1" applyFill="1" applyBorder="1" applyAlignment="1">
      <alignment vertical="top"/>
    </xf>
    <xf numFmtId="0" fontId="99" fillId="0" borderId="14" xfId="44" applyFont="1" applyFill="1" applyBorder="1" applyAlignment="1">
      <alignment vertical="top"/>
    </xf>
    <xf numFmtId="0" fontId="17" fillId="0" borderId="22" xfId="44" applyFont="1" applyFill="1" applyBorder="1" applyAlignment="1">
      <alignment vertical="center" textRotation="90" wrapText="1"/>
    </xf>
    <xf numFmtId="0" fontId="15" fillId="0" borderId="10" xfId="44" applyFont="1" applyFill="1" applyBorder="1" applyAlignment="1">
      <alignment vertical="top" wrapText="1"/>
    </xf>
    <xf numFmtId="1" fontId="99" fillId="0" borderId="10" xfId="44" applyNumberFormat="1" applyFont="1" applyFill="1" applyBorder="1" applyAlignment="1">
      <alignment vertical="top"/>
    </xf>
    <xf numFmtId="0" fontId="15" fillId="0" borderId="23" xfId="44" applyFont="1" applyFill="1" applyBorder="1" applyAlignment="1">
      <alignment vertical="top"/>
    </xf>
    <xf numFmtId="0" fontId="15" fillId="0" borderId="12" xfId="44" applyFont="1" applyFill="1" applyBorder="1" applyAlignment="1">
      <alignment vertical="top" wrapText="1"/>
    </xf>
    <xf numFmtId="1" fontId="99" fillId="0" borderId="12" xfId="44" applyNumberFormat="1" applyFont="1" applyFill="1" applyBorder="1" applyAlignment="1">
      <alignment vertical="top"/>
    </xf>
    <xf numFmtId="0" fontId="99" fillId="0" borderId="12" xfId="44" applyFont="1" applyFill="1" applyBorder="1" applyAlignment="1">
      <alignment vertical="top"/>
    </xf>
    <xf numFmtId="1" fontId="99" fillId="0" borderId="24" xfId="44" applyNumberFormat="1" applyFont="1" applyFill="1" applyBorder="1" applyAlignment="1">
      <alignment vertical="top"/>
    </xf>
    <xf numFmtId="1" fontId="99" fillId="0" borderId="0" xfId="44" applyNumberFormat="1" applyFont="1" applyFill="1" applyBorder="1" applyAlignment="1">
      <alignment vertical="top"/>
    </xf>
    <xf numFmtId="0" fontId="15" fillId="0" borderId="20" xfId="44" applyFont="1" applyFill="1" applyBorder="1"/>
    <xf numFmtId="0" fontId="95" fillId="0" borderId="15" xfId="44" applyFont="1" applyFill="1" applyBorder="1" applyAlignment="1">
      <alignment vertical="top"/>
    </xf>
    <xf numFmtId="0" fontId="97" fillId="0" borderId="15" xfId="44" applyFont="1" applyFill="1" applyBorder="1" applyAlignment="1">
      <alignment vertical="top"/>
    </xf>
    <xf numFmtId="0" fontId="15" fillId="0" borderId="21" xfId="44" applyFont="1" applyFill="1" applyBorder="1" applyAlignment="1">
      <alignment horizontal="center" vertical="top"/>
    </xf>
    <xf numFmtId="0" fontId="15" fillId="0" borderId="10" xfId="44" applyFont="1" applyFill="1" applyBorder="1"/>
    <xf numFmtId="0" fontId="99" fillId="0" borderId="10" xfId="44" applyFont="1" applyFill="1" applyBorder="1"/>
    <xf numFmtId="0" fontId="17" fillId="0" borderId="21" xfId="44" applyFont="1" applyFill="1" applyBorder="1" applyAlignment="1">
      <alignment horizontal="center" vertical="top"/>
    </xf>
    <xf numFmtId="0" fontId="17" fillId="0" borderId="10" xfId="44" applyFont="1" applyFill="1" applyBorder="1"/>
    <xf numFmtId="0" fontId="95" fillId="0" borderId="10" xfId="44" applyFont="1" applyFill="1" applyBorder="1"/>
    <xf numFmtId="0" fontId="17" fillId="0" borderId="20" xfId="44" applyFont="1" applyFill="1" applyBorder="1"/>
    <xf numFmtId="0" fontId="15" fillId="0" borderId="25" xfId="44" applyFont="1" applyFill="1" applyBorder="1" applyAlignment="1">
      <alignment horizontal="center" vertical="top"/>
    </xf>
    <xf numFmtId="0" fontId="98" fillId="0" borderId="26" xfId="44" applyFont="1" applyFill="1" applyBorder="1"/>
    <xf numFmtId="0" fontId="15" fillId="0" borderId="26" xfId="44" applyFont="1" applyFill="1" applyBorder="1"/>
    <xf numFmtId="0" fontId="15" fillId="0" borderId="27" xfId="44" applyFont="1" applyFill="1" applyBorder="1"/>
    <xf numFmtId="173" fontId="71" fillId="28" borderId="10" xfId="39" applyNumberFormat="1" applyFont="1" applyFill="1" applyBorder="1" applyAlignment="1">
      <alignment horizontal="center" wrapText="1"/>
    </xf>
    <xf numFmtId="0" fontId="71" fillId="28" borderId="10" xfId="39" applyFont="1" applyFill="1" applyBorder="1" applyAlignment="1">
      <alignment horizontal="center" vertical="top" wrapText="1"/>
    </xf>
    <xf numFmtId="1" fontId="69" fillId="28" borderId="10" xfId="39" applyNumberFormat="1" applyFont="1" applyFill="1" applyBorder="1" applyAlignment="1">
      <alignment wrapText="1"/>
    </xf>
    <xf numFmtId="1" fontId="64" fillId="28" borderId="10" xfId="39" applyNumberFormat="1" applyFont="1" applyFill="1" applyBorder="1" applyAlignment="1">
      <alignment wrapText="1"/>
    </xf>
    <xf numFmtId="0" fontId="60" fillId="0" borderId="18" xfId="41" applyFont="1" applyFill="1" applyBorder="1" applyAlignment="1">
      <alignment horizontal="left" vertical="center" wrapText="1"/>
    </xf>
    <xf numFmtId="0" fontId="10" fillId="0" borderId="15" xfId="41" applyFont="1" applyFill="1" applyBorder="1" applyAlignment="1">
      <alignment horizontal="left" vertical="center" wrapText="1"/>
    </xf>
    <xf numFmtId="0" fontId="10" fillId="0" borderId="14" xfId="41" applyFont="1" applyFill="1" applyBorder="1" applyAlignment="1">
      <alignment horizontal="left" vertical="center" wrapText="1"/>
    </xf>
    <xf numFmtId="0" fontId="10" fillId="0" borderId="15" xfId="41" applyFont="1" applyFill="1" applyBorder="1" applyAlignment="1">
      <alignment horizontal="left" vertical="top" wrapText="1"/>
    </xf>
    <xf numFmtId="0" fontId="10" fillId="0" borderId="14" xfId="41" applyFont="1" applyFill="1" applyBorder="1" applyAlignment="1">
      <alignment horizontal="left" vertical="top" wrapText="1"/>
    </xf>
    <xf numFmtId="0" fontId="60" fillId="0" borderId="18" xfId="41" applyFont="1" applyFill="1" applyBorder="1" applyAlignment="1">
      <alignment horizontal="center" vertical="center" wrapText="1"/>
    </xf>
    <xf numFmtId="0" fontId="57" fillId="0" borderId="0" xfId="41" applyFont="1" applyFill="1" applyAlignment="1">
      <alignment horizontal="center" vertical="center"/>
    </xf>
    <xf numFmtId="0" fontId="3" fillId="0" borderId="10" xfId="41" quotePrefix="1" applyFont="1" applyFill="1" applyBorder="1" applyAlignment="1">
      <alignment horizontal="center" vertical="center" wrapText="1"/>
    </xf>
    <xf numFmtId="0" fontId="10" fillId="0" borderId="15" xfId="41" applyFont="1" applyFill="1" applyBorder="1" applyAlignment="1">
      <alignment horizontal="center" vertical="center" wrapText="1"/>
    </xf>
    <xf numFmtId="0" fontId="10" fillId="0" borderId="16" xfId="41" applyFont="1" applyFill="1" applyBorder="1" applyAlignment="1">
      <alignment horizontal="center" vertical="center" wrapText="1"/>
    </xf>
    <xf numFmtId="0" fontId="10" fillId="0" borderId="14" xfId="41" applyFont="1" applyFill="1" applyBorder="1" applyAlignment="1">
      <alignment horizontal="center" vertical="center" wrapText="1"/>
    </xf>
    <xf numFmtId="0" fontId="10" fillId="28" borderId="28" xfId="41" applyFont="1" applyFill="1" applyBorder="1" applyAlignment="1">
      <alignment horizontal="center" vertical="center" wrapText="1"/>
    </xf>
    <xf numFmtId="0" fontId="10" fillId="28" borderId="18" xfId="41" applyFont="1" applyFill="1" applyBorder="1" applyAlignment="1">
      <alignment horizontal="center" vertical="center" wrapText="1"/>
    </xf>
    <xf numFmtId="0" fontId="59" fillId="0" borderId="17" xfId="41" applyFont="1" applyFill="1" applyBorder="1" applyAlignment="1">
      <alignment horizontal="right" vertical="center"/>
    </xf>
    <xf numFmtId="0" fontId="10" fillId="0" borderId="10" xfId="41" applyFont="1" applyFill="1" applyBorder="1" applyAlignment="1">
      <alignment horizontal="center" vertical="center" wrapText="1"/>
    </xf>
    <xf numFmtId="0" fontId="10" fillId="0" borderId="10" xfId="41" quotePrefix="1" applyFont="1" applyFill="1" applyBorder="1" applyAlignment="1">
      <alignment horizontal="center" vertical="center" wrapText="1"/>
    </xf>
    <xf numFmtId="0" fontId="45" fillId="0" borderId="10" xfId="41" quotePrefix="1" applyFont="1" applyFill="1" applyBorder="1" applyAlignment="1">
      <alignment horizontal="center" vertical="center" wrapText="1"/>
    </xf>
    <xf numFmtId="0" fontId="45" fillId="28" borderId="15" xfId="41" applyFont="1" applyFill="1" applyBorder="1" applyAlignment="1">
      <alignment horizontal="center" vertical="center" wrapText="1"/>
    </xf>
    <xf numFmtId="0" fontId="45" fillId="28" borderId="16" xfId="41" applyFont="1" applyFill="1" applyBorder="1" applyAlignment="1">
      <alignment horizontal="center" vertical="center" wrapText="1"/>
    </xf>
    <xf numFmtId="0" fontId="45" fillId="28" borderId="14" xfId="41" applyFont="1" applyFill="1" applyBorder="1" applyAlignment="1">
      <alignment horizontal="center" vertical="center" wrapText="1"/>
    </xf>
    <xf numFmtId="0" fontId="10" fillId="28" borderId="15" xfId="41" applyFont="1" applyFill="1" applyBorder="1" applyAlignment="1">
      <alignment horizontal="center" vertical="center" wrapText="1"/>
    </xf>
    <xf numFmtId="0" fontId="10" fillId="28" borderId="16" xfId="41" applyFont="1" applyFill="1" applyBorder="1" applyAlignment="1">
      <alignment horizontal="center" vertical="center" wrapText="1"/>
    </xf>
    <xf numFmtId="0" fontId="10" fillId="28" borderId="14" xfId="41" applyFont="1" applyFill="1" applyBorder="1" applyAlignment="1">
      <alignment horizontal="center" vertical="center" wrapText="1"/>
    </xf>
    <xf numFmtId="0" fontId="64" fillId="0" borderId="18" xfId="39" applyFont="1" applyFill="1" applyBorder="1" applyAlignment="1">
      <alignment horizontal="left" wrapText="1"/>
    </xf>
    <xf numFmtId="14" fontId="68" fillId="0" borderId="17" xfId="39" applyNumberFormat="1" applyFont="1" applyFill="1" applyBorder="1" applyAlignment="1">
      <alignment horizontal="center" vertical="top" wrapText="1"/>
    </xf>
    <xf numFmtId="0" fontId="71" fillId="0" borderId="10" xfId="39" applyFont="1" applyFill="1" applyBorder="1" applyAlignment="1">
      <alignment horizontal="center" vertical="top" wrapText="1"/>
    </xf>
    <xf numFmtId="0" fontId="72" fillId="0" borderId="10" xfId="39" applyFont="1" applyFill="1" applyBorder="1" applyAlignment="1">
      <alignment horizontal="center" vertical="top" wrapText="1"/>
    </xf>
    <xf numFmtId="173" fontId="73" fillId="28" borderId="10" xfId="39" applyNumberFormat="1" applyFont="1" applyFill="1" applyBorder="1" applyAlignment="1">
      <alignment horizontal="center" vertical="top" wrapText="1"/>
    </xf>
    <xf numFmtId="0" fontId="73" fillId="0" borderId="15" xfId="39" applyFont="1" applyFill="1" applyBorder="1" applyAlignment="1">
      <alignment horizontal="center" vertical="top" wrapText="1"/>
    </xf>
    <xf numFmtId="0" fontId="73" fillId="0" borderId="14" xfId="39" applyFont="1" applyFill="1" applyBorder="1" applyAlignment="1">
      <alignment horizontal="center" vertical="top" wrapText="1"/>
    </xf>
    <xf numFmtId="173" fontId="73" fillId="0" borderId="15" xfId="39" applyNumberFormat="1" applyFont="1" applyFill="1" applyBorder="1" applyAlignment="1">
      <alignment horizontal="center" vertical="top" wrapText="1"/>
    </xf>
    <xf numFmtId="173" fontId="73" fillId="0" borderId="16" xfId="39" applyNumberFormat="1" applyFont="1" applyFill="1" applyBorder="1" applyAlignment="1">
      <alignment horizontal="center" vertical="top" wrapText="1"/>
    </xf>
    <xf numFmtId="173" fontId="73" fillId="0" borderId="14" xfId="39" applyNumberFormat="1" applyFont="1" applyFill="1" applyBorder="1" applyAlignment="1">
      <alignment horizontal="center" vertical="top" wrapText="1"/>
    </xf>
    <xf numFmtId="14" fontId="70" fillId="0" borderId="17" xfId="39" applyNumberFormat="1" applyFont="1" applyFill="1" applyBorder="1" applyAlignment="1">
      <alignment horizontal="right" vertical="top" wrapText="1"/>
    </xf>
    <xf numFmtId="14" fontId="44" fillId="0" borderId="17" xfId="39" applyNumberFormat="1" applyFont="1" applyFill="1" applyBorder="1" applyAlignment="1">
      <alignment horizontal="center" vertical="top" wrapText="1"/>
    </xf>
    <xf numFmtId="0" fontId="73" fillId="0" borderId="15" xfId="39" applyFont="1" applyFill="1" applyBorder="1" applyAlignment="1">
      <alignment horizontal="left" wrapText="1"/>
    </xf>
    <xf numFmtId="0" fontId="73" fillId="0" borderId="14" xfId="39" applyFont="1" applyFill="1" applyBorder="1" applyAlignment="1">
      <alignment horizontal="left" wrapText="1"/>
    </xf>
    <xf numFmtId="0" fontId="69" fillId="0" borderId="18" xfId="39" applyFont="1" applyFill="1" applyBorder="1" applyAlignment="1">
      <alignment horizontal="left" wrapText="1"/>
    </xf>
    <xf numFmtId="0" fontId="75" fillId="0" borderId="10" xfId="39" applyFont="1" applyFill="1" applyBorder="1" applyAlignment="1">
      <alignment horizontal="center" vertical="top" wrapText="1"/>
    </xf>
    <xf numFmtId="173" fontId="73" fillId="0" borderId="10" xfId="39" applyNumberFormat="1" applyFont="1" applyFill="1" applyBorder="1" applyAlignment="1">
      <alignment horizontal="center" vertical="top" wrapText="1"/>
    </xf>
    <xf numFmtId="0" fontId="11" fillId="0" borderId="18" xfId="39" applyFont="1" applyFill="1" applyBorder="1" applyAlignment="1">
      <alignment horizontal="left" wrapText="1"/>
    </xf>
    <xf numFmtId="14" fontId="44" fillId="0" borderId="0" xfId="39" applyNumberFormat="1" applyFont="1" applyFill="1" applyBorder="1" applyAlignment="1">
      <alignment horizontal="center" vertical="top" wrapText="1"/>
    </xf>
    <xf numFmtId="0" fontId="11" fillId="0" borderId="10" xfId="39" applyFont="1" applyFill="1" applyBorder="1" applyAlignment="1">
      <alignment horizontal="center" vertical="top" wrapText="1"/>
    </xf>
    <xf numFmtId="0" fontId="4" fillId="0" borderId="10" xfId="39" applyFont="1" applyFill="1" applyBorder="1" applyAlignment="1">
      <alignment horizontal="center" vertical="top" wrapText="1"/>
    </xf>
    <xf numFmtId="0" fontId="12" fillId="0" borderId="10" xfId="39" applyFont="1" applyFill="1" applyBorder="1" applyAlignment="1">
      <alignment horizontal="center" vertical="top" wrapText="1"/>
    </xf>
    <xf numFmtId="173" fontId="76" fillId="0" borderId="10" xfId="39" applyNumberFormat="1" applyFont="1" applyFill="1" applyBorder="1" applyAlignment="1">
      <alignment horizontal="center" wrapText="1"/>
    </xf>
    <xf numFmtId="0" fontId="13" fillId="0" borderId="18" xfId="39" applyFont="1" applyFill="1" applyBorder="1" applyAlignment="1">
      <alignment horizontal="left" wrapText="1"/>
    </xf>
    <xf numFmtId="0" fontId="83" fillId="0" borderId="0" xfId="39" applyFont="1" applyFill="1" applyBorder="1" applyAlignment="1">
      <alignment horizontal="right" vertical="top" wrapText="1"/>
    </xf>
    <xf numFmtId="173" fontId="12" fillId="0" borderId="15" xfId="39" applyNumberFormat="1" applyFont="1" applyFill="1" applyBorder="1" applyAlignment="1">
      <alignment horizontal="center" vertical="top" wrapText="1"/>
    </xf>
    <xf numFmtId="173" fontId="12" fillId="0" borderId="16" xfId="39" applyNumberFormat="1" applyFont="1" applyFill="1" applyBorder="1" applyAlignment="1">
      <alignment horizontal="center" vertical="top" wrapText="1"/>
    </xf>
    <xf numFmtId="173" fontId="12" fillId="0" borderId="14" xfId="39" applyNumberFormat="1" applyFont="1" applyFill="1" applyBorder="1" applyAlignment="1">
      <alignment horizontal="center" vertical="top" wrapText="1"/>
    </xf>
    <xf numFmtId="173" fontId="12" fillId="0" borderId="10" xfId="39" applyNumberFormat="1" applyFont="1" applyFill="1" applyBorder="1" applyAlignment="1">
      <alignment horizontal="center" vertical="top" wrapText="1"/>
    </xf>
    <xf numFmtId="14" fontId="70" fillId="0" borderId="16" xfId="39" applyNumberFormat="1" applyFont="1" applyFill="1" applyBorder="1" applyAlignment="1">
      <alignment horizontal="right" vertical="top" wrapText="1"/>
    </xf>
    <xf numFmtId="0" fontId="76" fillId="0" borderId="15" xfId="39" applyFont="1" applyFill="1" applyBorder="1" applyAlignment="1">
      <alignment horizontal="center" vertical="top" wrapText="1"/>
    </xf>
    <xf numFmtId="0" fontId="76" fillId="0" borderId="16" xfId="39" applyFont="1" applyFill="1" applyBorder="1" applyAlignment="1">
      <alignment horizontal="center" vertical="top" wrapText="1"/>
    </xf>
    <xf numFmtId="0" fontId="76" fillId="0" borderId="14" xfId="39" applyFont="1" applyFill="1" applyBorder="1" applyAlignment="1">
      <alignment horizontal="center" vertical="top" wrapText="1"/>
    </xf>
    <xf numFmtId="173" fontId="76" fillId="0" borderId="10" xfId="39" applyNumberFormat="1" applyFont="1" applyFill="1" applyBorder="1" applyAlignment="1">
      <alignment horizontal="center" vertical="top" wrapText="1"/>
    </xf>
    <xf numFmtId="14" fontId="88" fillId="0" borderId="16" xfId="39" applyNumberFormat="1" applyFont="1" applyFill="1" applyBorder="1" applyAlignment="1">
      <alignment horizontal="right" vertical="top" wrapText="1"/>
    </xf>
    <xf numFmtId="0" fontId="89" fillId="0" borderId="10" xfId="39" applyFont="1" applyFill="1" applyBorder="1" applyAlignment="1">
      <alignment horizontal="center" vertical="top" wrapText="1"/>
    </xf>
    <xf numFmtId="14" fontId="83" fillId="0" borderId="0" xfId="39" applyNumberFormat="1" applyFont="1" applyFill="1" applyBorder="1" applyAlignment="1">
      <alignment horizontal="right" wrapText="1"/>
    </xf>
    <xf numFmtId="14" fontId="90" fillId="0" borderId="0" xfId="39" applyNumberFormat="1" applyFont="1" applyFill="1" applyBorder="1" applyAlignment="1">
      <alignment horizontal="center" vertical="top" wrapText="1"/>
    </xf>
    <xf numFmtId="0" fontId="76" fillId="0" borderId="10" xfId="39" applyFont="1" applyFill="1" applyBorder="1" applyAlignment="1">
      <alignment horizontal="center" vertical="top" wrapText="1"/>
    </xf>
    <xf numFmtId="173" fontId="76" fillId="0" borderId="15" xfId="39" applyNumberFormat="1" applyFont="1" applyFill="1" applyBorder="1" applyAlignment="1">
      <alignment horizontal="center" vertical="top" wrapText="1"/>
    </xf>
    <xf numFmtId="173" fontId="76" fillId="0" borderId="16" xfId="39" applyNumberFormat="1" applyFont="1" applyFill="1" applyBorder="1" applyAlignment="1">
      <alignment horizontal="center" vertical="top" wrapText="1"/>
    </xf>
    <xf numFmtId="173" fontId="76" fillId="0" borderId="14" xfId="39" applyNumberFormat="1" applyFont="1" applyFill="1" applyBorder="1" applyAlignment="1">
      <alignment horizontal="center" vertical="top" wrapText="1"/>
    </xf>
    <xf numFmtId="0" fontId="17" fillId="0" borderId="21" xfId="44" applyFont="1" applyFill="1" applyBorder="1" applyAlignment="1">
      <alignment horizontal="center" vertical="center" textRotation="90"/>
    </xf>
    <xf numFmtId="0" fontId="17" fillId="30" borderId="32" xfId="44" applyFont="1" applyFill="1" applyBorder="1" applyAlignment="1">
      <alignment horizontal="center" vertical="center" textRotation="90" wrapText="1"/>
    </xf>
    <xf numFmtId="0" fontId="17" fillId="30" borderId="30" xfId="44" applyFont="1" applyFill="1" applyBorder="1" applyAlignment="1">
      <alignment horizontal="center" vertical="center" textRotation="90" wrapText="1"/>
    </xf>
    <xf numFmtId="0" fontId="17" fillId="27" borderId="32" xfId="44" applyFont="1" applyFill="1" applyBorder="1" applyAlignment="1">
      <alignment horizontal="center" vertical="center" textRotation="90" wrapText="1"/>
    </xf>
    <xf numFmtId="0" fontId="17" fillId="27" borderId="30" xfId="44" applyFont="1" applyFill="1" applyBorder="1" applyAlignment="1">
      <alignment horizontal="center" vertical="center" textRotation="90" wrapText="1"/>
    </xf>
    <xf numFmtId="0" fontId="17" fillId="27" borderId="22" xfId="44" applyFont="1" applyFill="1" applyBorder="1" applyAlignment="1">
      <alignment horizontal="center" vertical="center" textRotation="90" wrapText="1"/>
    </xf>
    <xf numFmtId="0" fontId="43" fillId="0" borderId="0" xfId="44" applyFont="1" applyFill="1" applyBorder="1" applyAlignment="1">
      <alignment horizontal="center"/>
    </xf>
    <xf numFmtId="0" fontId="67" fillId="0" borderId="33" xfId="44" applyFont="1" applyFill="1" applyBorder="1" applyAlignment="1">
      <alignment horizontal="center" vertical="top" wrapText="1"/>
    </xf>
    <xf numFmtId="0" fontId="67" fillId="0" borderId="21" xfId="44" applyFont="1" applyFill="1" applyBorder="1" applyAlignment="1">
      <alignment horizontal="center" vertical="top" wrapText="1"/>
    </xf>
    <xf numFmtId="0" fontId="67" fillId="0" borderId="31" xfId="44" applyFont="1" applyFill="1" applyBorder="1" applyAlignment="1">
      <alignment horizontal="center" vertical="top" wrapText="1"/>
    </xf>
    <xf numFmtId="0" fontId="67" fillId="0" borderId="10" xfId="44" applyFont="1" applyFill="1" applyBorder="1" applyAlignment="1">
      <alignment horizontal="center" vertical="top" wrapText="1"/>
    </xf>
    <xf numFmtId="0" fontId="67" fillId="0" borderId="34" xfId="44" applyFont="1" applyFill="1" applyBorder="1" applyAlignment="1">
      <alignment horizontal="center" vertical="top"/>
    </xf>
    <xf numFmtId="0" fontId="67" fillId="0" borderId="12" xfId="44" applyFont="1" applyFill="1" applyBorder="1" applyAlignment="1">
      <alignment horizontal="center" vertical="top"/>
    </xf>
    <xf numFmtId="0" fontId="67" fillId="0" borderId="34" xfId="44" applyFont="1" applyFill="1" applyBorder="1" applyAlignment="1">
      <alignment horizontal="center" vertical="top" wrapText="1"/>
    </xf>
    <xf numFmtId="0" fontId="67" fillId="0" borderId="12" xfId="44" applyFont="1" applyFill="1" applyBorder="1" applyAlignment="1">
      <alignment horizontal="center" vertical="top" wrapText="1"/>
    </xf>
    <xf numFmtId="0" fontId="97" fillId="0" borderId="0" xfId="44" applyFont="1" applyFill="1" applyAlignment="1">
      <alignment horizontal="left" wrapText="1"/>
    </xf>
    <xf numFmtId="0" fontId="17" fillId="26" borderId="29" xfId="44" applyFont="1" applyFill="1" applyBorder="1" applyAlignment="1">
      <alignment horizontal="center" vertical="center" textRotation="90" wrapText="1"/>
    </xf>
    <xf numFmtId="0" fontId="17" fillId="26" borderId="30" xfId="44" applyFont="1" applyFill="1" applyBorder="1" applyAlignment="1">
      <alignment horizontal="center" vertical="center" textRotation="90" wrapText="1"/>
    </xf>
    <xf numFmtId="0" fontId="6" fillId="0" borderId="18" xfId="39" applyFont="1" applyBorder="1" applyAlignment="1">
      <alignment horizontal="left"/>
    </xf>
    <xf numFmtId="0" fontId="43" fillId="24" borderId="17" xfId="39" applyFont="1" applyFill="1" applyBorder="1" applyAlignment="1">
      <alignment horizontal="center" vertical="top"/>
    </xf>
    <xf numFmtId="0" fontId="3" fillId="0" borderId="11" xfId="39" applyFont="1" applyBorder="1" applyAlignment="1">
      <alignment horizontal="center" vertical="top"/>
    </xf>
    <xf numFmtId="0" fontId="3" fillId="0" borderId="13" xfId="39" applyFont="1" applyBorder="1" applyAlignment="1">
      <alignment horizontal="center" vertical="top"/>
    </xf>
    <xf numFmtId="0" fontId="5" fillId="0" borderId="11" xfId="39" applyFont="1" applyBorder="1" applyAlignment="1">
      <alignment horizontal="center" vertical="top" wrapText="1"/>
    </xf>
    <xf numFmtId="0" fontId="5" fillId="0" borderId="13" xfId="39" applyFont="1" applyBorder="1" applyAlignment="1">
      <alignment horizontal="center" vertical="top" wrapText="1"/>
    </xf>
    <xf numFmtId="0" fontId="3" fillId="0" borderId="15" xfId="39" applyFont="1" applyBorder="1" applyAlignment="1">
      <alignment horizontal="center" vertical="center" wrapText="1"/>
    </xf>
    <xf numFmtId="0" fontId="3" fillId="0" borderId="16" xfId="39" applyFont="1" applyBorder="1" applyAlignment="1">
      <alignment horizontal="center" vertical="center" wrapText="1"/>
    </xf>
    <xf numFmtId="0" fontId="3" fillId="0" borderId="14" xfId="39" applyFont="1" applyBorder="1" applyAlignment="1">
      <alignment horizontal="center" vertical="center" wrapText="1"/>
    </xf>
    <xf numFmtId="0" fontId="3" fillId="0" borderId="15" xfId="39" applyFont="1" applyFill="1" applyBorder="1" applyAlignment="1">
      <alignment horizontal="center" vertical="center" wrapText="1"/>
    </xf>
    <xf numFmtId="0" fontId="3" fillId="0" borderId="16" xfId="39" applyFont="1" applyFill="1" applyBorder="1" applyAlignment="1">
      <alignment horizontal="center" vertical="center" wrapText="1"/>
    </xf>
    <xf numFmtId="0" fontId="3" fillId="0" borderId="14" xfId="39" applyFont="1" applyFill="1" applyBorder="1" applyAlignment="1">
      <alignment horizontal="center" vertical="center" wrapText="1"/>
    </xf>
    <xf numFmtId="0" fontId="3" fillId="0" borderId="35" xfId="39" applyFont="1" applyFill="1" applyBorder="1" applyAlignment="1">
      <alignment horizontal="center" vertical="center" wrapText="1"/>
    </xf>
    <xf numFmtId="0" fontId="3" fillId="0" borderId="17" xfId="39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top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43" fillId="24" borderId="17" xfId="0" applyFont="1" applyFill="1" applyBorder="1" applyAlignment="1">
      <alignment horizontal="center" vertical="top" wrapText="1"/>
    </xf>
    <xf numFmtId="0" fontId="43" fillId="24" borderId="0" xfId="0" applyFont="1" applyFill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26" borderId="10" xfId="0" applyFont="1" applyFill="1" applyBorder="1" applyAlignment="1">
      <alignment horizontal="center" vertical="top" wrapText="1"/>
    </xf>
    <xf numFmtId="0" fontId="44" fillId="24" borderId="0" xfId="0" applyFont="1" applyFill="1" applyBorder="1" applyAlignment="1">
      <alignment horizontal="center" vertical="top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26" borderId="15" xfId="0" applyFont="1" applyFill="1" applyBorder="1" applyAlignment="1">
      <alignment horizontal="center" vertical="top" wrapText="1"/>
    </xf>
    <xf numFmtId="0" fontId="12" fillId="26" borderId="16" xfId="0" applyFont="1" applyFill="1" applyBorder="1" applyAlignment="1">
      <alignment horizontal="center" vertical="top" wrapText="1"/>
    </xf>
    <xf numFmtId="0" fontId="12" fillId="26" borderId="14" xfId="0" applyFont="1" applyFill="1" applyBorder="1" applyAlignment="1">
      <alignment horizontal="center" vertical="top" wrapText="1"/>
    </xf>
    <xf numFmtId="0" fontId="12" fillId="24" borderId="15" xfId="0" applyFont="1" applyFill="1" applyBorder="1" applyAlignment="1">
      <alignment horizontal="center" vertical="top" wrapText="1"/>
    </xf>
    <xf numFmtId="0" fontId="12" fillId="24" borderId="16" xfId="0" applyFont="1" applyFill="1" applyBorder="1" applyAlignment="1">
      <alignment horizontal="center" vertical="top" wrapText="1"/>
    </xf>
    <xf numFmtId="0" fontId="12" fillId="24" borderId="14" xfId="0" applyFont="1" applyFill="1" applyBorder="1" applyAlignment="1">
      <alignment horizontal="center" vertical="top" wrapText="1"/>
    </xf>
    <xf numFmtId="0" fontId="12" fillId="24" borderId="10" xfId="0" applyFont="1" applyFill="1" applyBorder="1" applyAlignment="1">
      <alignment horizontal="center" vertical="top" wrapText="1"/>
    </xf>
    <xf numFmtId="0" fontId="12" fillId="26" borderId="35" xfId="0" applyFont="1" applyFill="1" applyBorder="1" applyAlignment="1">
      <alignment horizontal="center" vertical="top" wrapText="1"/>
    </xf>
    <xf numFmtId="0" fontId="12" fillId="26" borderId="17" xfId="0" applyFont="1" applyFill="1" applyBorder="1" applyAlignment="1">
      <alignment horizontal="center" vertical="top" wrapText="1"/>
    </xf>
    <xf numFmtId="0" fontId="13" fillId="0" borderId="18" xfId="39" applyFont="1" applyBorder="1" applyAlignment="1">
      <alignment horizontal="left"/>
    </xf>
    <xf numFmtId="0" fontId="54" fillId="0" borderId="17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0" fontId="11" fillId="0" borderId="10" xfId="0" applyFont="1" applyFill="1" applyBorder="1" applyAlignment="1">
      <alignment horizontal="center" vertical="top" wrapText="1"/>
    </xf>
    <xf numFmtId="0" fontId="11" fillId="26" borderId="15" xfId="0" applyFont="1" applyFill="1" applyBorder="1" applyAlignment="1">
      <alignment horizontal="center" vertical="top" wrapText="1"/>
    </xf>
    <xf numFmtId="0" fontId="11" fillId="26" borderId="16" xfId="0" applyFont="1" applyFill="1" applyBorder="1" applyAlignment="1">
      <alignment horizontal="center" vertical="top" wrapText="1"/>
    </xf>
    <xf numFmtId="0" fontId="11" fillId="26" borderId="14" xfId="0" applyFont="1" applyFill="1" applyBorder="1" applyAlignment="1">
      <alignment horizontal="center" vertical="top" wrapText="1"/>
    </xf>
    <xf numFmtId="0" fontId="11" fillId="24" borderId="10" xfId="0" applyFont="1" applyFill="1" applyBorder="1" applyAlignment="1">
      <alignment horizontal="center" vertical="top" wrapText="1"/>
    </xf>
    <xf numFmtId="0" fontId="11" fillId="26" borderId="10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/>
    </xf>
    <xf numFmtId="0" fontId="3" fillId="26" borderId="15" xfId="0" applyFont="1" applyFill="1" applyBorder="1" applyAlignment="1">
      <alignment horizontal="center" vertical="top" wrapText="1"/>
    </xf>
    <xf numFmtId="0" fontId="3" fillId="26" borderId="16" xfId="0" applyFont="1" applyFill="1" applyBorder="1" applyAlignment="1">
      <alignment horizontal="center" vertical="top" wrapText="1"/>
    </xf>
    <xf numFmtId="0" fontId="3" fillId="26" borderId="14" xfId="0" applyFont="1" applyFill="1" applyBorder="1" applyAlignment="1">
      <alignment horizontal="center" vertical="top" wrapText="1"/>
    </xf>
    <xf numFmtId="0" fontId="3" fillId="24" borderId="10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5" fillId="26" borderId="15" xfId="0" applyFont="1" applyFill="1" applyBorder="1" applyAlignment="1">
      <alignment horizontal="center" vertical="top" wrapText="1"/>
    </xf>
    <xf numFmtId="0" fontId="5" fillId="26" borderId="16" xfId="0" applyFont="1" applyFill="1" applyBorder="1" applyAlignment="1">
      <alignment horizontal="center" vertical="top" wrapText="1"/>
    </xf>
    <xf numFmtId="0" fontId="5" fillId="26" borderId="14" xfId="0" applyFont="1" applyFill="1" applyBorder="1" applyAlignment="1">
      <alignment horizontal="center" vertical="top" wrapText="1"/>
    </xf>
    <xf numFmtId="0" fontId="5" fillId="26" borderId="10" xfId="0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43" fillId="0" borderId="0" xfId="0" applyFont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top" wrapText="1"/>
    </xf>
    <xf numFmtId="0" fontId="43" fillId="0" borderId="17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5" fillId="0" borderId="10" xfId="0" applyFont="1" applyBorder="1" applyAlignment="1">
      <alignment horizontal="center" vertical="top" wrapText="1"/>
    </xf>
    <xf numFmtId="0" fontId="43" fillId="0" borderId="17" xfId="0" applyFont="1" applyFill="1" applyBorder="1" applyAlignment="1">
      <alignment horizontal="center" vertical="top"/>
    </xf>
    <xf numFmtId="0" fontId="43" fillId="0" borderId="0" xfId="0" applyFont="1" applyFill="1" applyBorder="1" applyAlignment="1">
      <alignment horizontal="center" vertical="top"/>
    </xf>
    <xf numFmtId="0" fontId="45" fillId="0" borderId="11" xfId="0" applyFont="1" applyBorder="1" applyAlignment="1">
      <alignment horizontal="center" vertical="top" wrapText="1"/>
    </xf>
    <xf numFmtId="0" fontId="45" fillId="0" borderId="13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5" fillId="27" borderId="10" xfId="0" applyFont="1" applyFill="1" applyBorder="1" applyAlignment="1">
      <alignment horizontal="center" vertical="top" wrapText="1"/>
    </xf>
    <xf numFmtId="0" fontId="43" fillId="0" borderId="17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39" applyFont="1" applyFill="1" applyAlignment="1">
      <alignment horizontal="center"/>
    </xf>
    <xf numFmtId="0" fontId="5" fillId="0" borderId="10" xfId="39" applyFont="1" applyFill="1" applyBorder="1" applyAlignment="1">
      <alignment horizontal="center" vertical="top"/>
    </xf>
    <xf numFmtId="0" fontId="5" fillId="0" borderId="10" xfId="39" applyFont="1" applyFill="1" applyBorder="1" applyAlignment="1">
      <alignment horizontal="center" vertical="top" wrapText="1"/>
    </xf>
    <xf numFmtId="0" fontId="3" fillId="0" borderId="10" xfId="39" applyFont="1" applyFill="1" applyBorder="1" applyAlignment="1">
      <alignment horizontal="center" vertical="top"/>
    </xf>
    <xf numFmtId="0" fontId="3" fillId="0" borderId="10" xfId="39" applyFont="1" applyBorder="1" applyAlignment="1">
      <alignment horizontal="center" vertical="top" wrapText="1"/>
    </xf>
    <xf numFmtId="0" fontId="3" fillId="0" borderId="10" xfId="39" applyFont="1" applyBorder="1" applyAlignment="1">
      <alignment horizontal="center" vertical="top"/>
    </xf>
    <xf numFmtId="0" fontId="3" fillId="24" borderId="10" xfId="39" applyFont="1" applyFill="1" applyBorder="1" applyAlignment="1">
      <alignment horizontal="center" vertical="center"/>
    </xf>
    <xf numFmtId="0" fontId="51" fillId="0" borderId="17" xfId="39" applyFont="1" applyBorder="1" applyAlignment="1">
      <alignment horizontal="right"/>
    </xf>
  </cellXfs>
  <cellStyles count="5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Hyperlink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rmal_Compiled Information" xfId="40"/>
    <cellStyle name="Normal_Eleventh Plan _Chananaji " xfId="41"/>
    <cellStyle name="Normal_Financial performance during 8th, 9th &amp; 10th Plan 2" xfId="42"/>
    <cellStyle name="Normal_Proposed Outlay 11th Plan and Annual Plan 07-08 TO 09-10" xfId="43"/>
    <cellStyle name="Normal_Transfer to States (25.09.09)" xfId="44"/>
    <cellStyle name="Note 2" xfId="45"/>
    <cellStyle name="Output 2" xfId="46"/>
    <cellStyle name="Title 2" xfId="47"/>
    <cellStyle name="Total 2" xfId="48"/>
    <cellStyle name="Warning Text 2" xf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o(bsc)\shared\My%20Documents\SHARED\2000-01\Manipur%202000-01\Manipur%202000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o(bsc)\shared\My%20Documents\SHARED\2000-01\Assam%202000-01\Assam%202000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o(bsc)\shared\My%20Documents\SHARED\2000-01\Tripura%202000-01\Tripura%202000-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habra\pree\My%20Documents%2024-01-02\States\2002-03\Madhya%20Pradesh%202002-03\SG's%20da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Brief"/>
      <sheetName val="BCR1"/>
      <sheetName val="SOF1"/>
      <sheetName val="ARM Matrix"/>
      <sheetName val="BCR-Annex3"/>
      <sheetName val="Vari-Mani"/>
      <sheetName val="SOF2"/>
      <sheetName val="SOF-Annex1"/>
      <sheetName val="SOF-Corex2000-01-Annex2"/>
      <sheetName val="CA-Others"/>
      <sheetName val="SOF3"/>
      <sheetName val="BCR3"/>
      <sheetName val="Appd.SOF"/>
      <sheetName val="Cht data"/>
      <sheetName val="SOF99-00 Revised"/>
    </sheetNames>
    <sheetDataSet>
      <sheetData sheetId="0"/>
      <sheetData sheetId="1"/>
      <sheetData sheetId="2"/>
      <sheetData sheetId="3"/>
      <sheetData sheetId="4"/>
      <sheetData sheetId="5">
        <row r="3">
          <cell r="C3" t="str">
            <v>Items</v>
          </cell>
          <cell r="D3" t="str">
            <v>9th Plan 1997-2002</v>
          </cell>
          <cell r="E3" t="str">
            <v>1997-98</v>
          </cell>
          <cell r="G3" t="str">
            <v>1998-99</v>
          </cell>
          <cell r="I3" t="str">
            <v>1999-2000</v>
          </cell>
        </row>
        <row r="4">
          <cell r="D4" t="str">
            <v>Projections</v>
          </cell>
          <cell r="E4" t="str">
            <v>AP</v>
          </cell>
          <cell r="F4" t="str">
            <v>Actuals</v>
          </cell>
          <cell r="G4" t="str">
            <v>AP</v>
          </cell>
          <cell r="H4" t="str">
            <v>PA</v>
          </cell>
          <cell r="I4" t="str">
            <v>AP</v>
          </cell>
          <cell r="J4" t="str">
            <v>LE</v>
          </cell>
        </row>
        <row r="5">
          <cell r="A5" t="str">
            <v>(i)</v>
          </cell>
          <cell r="D5" t="str">
            <v>(ii)</v>
          </cell>
          <cell r="E5" t="str">
            <v>(iii)</v>
          </cell>
          <cell r="F5" t="str">
            <v>(iv)</v>
          </cell>
          <cell r="G5" t="str">
            <v>(v)</v>
          </cell>
          <cell r="H5" t="str">
            <v>(vi)</v>
          </cell>
          <cell r="I5" t="str">
            <v>(vii)</v>
          </cell>
          <cell r="J5" t="str">
            <v>(viii)</v>
          </cell>
        </row>
        <row r="6">
          <cell r="A6" t="str">
            <v>I.</v>
          </cell>
          <cell r="B6" t="str">
            <v>REVENUE RECEIPTS (1 to 4)</v>
          </cell>
          <cell r="D6">
            <v>2473.13</v>
          </cell>
          <cell r="E6">
            <v>443.87</v>
          </cell>
          <cell r="F6">
            <v>376.91</v>
          </cell>
          <cell r="G6">
            <v>497.34</v>
          </cell>
          <cell r="H6">
            <v>404.15</v>
          </cell>
          <cell r="I6">
            <v>523.07000000000005</v>
          </cell>
          <cell r="J6">
            <v>454.86</v>
          </cell>
        </row>
        <row r="7">
          <cell r="B7" t="str">
            <v>1.</v>
          </cell>
          <cell r="C7" t="str">
            <v>Tax Revenues</v>
          </cell>
          <cell r="D7">
            <v>2050.88</v>
          </cell>
          <cell r="E7">
            <v>358.2</v>
          </cell>
          <cell r="F7">
            <v>346.54</v>
          </cell>
          <cell r="G7">
            <v>421.47</v>
          </cell>
          <cell r="H7">
            <v>362.43</v>
          </cell>
          <cell r="I7">
            <v>485.66</v>
          </cell>
          <cell r="J7">
            <v>459.34</v>
          </cell>
        </row>
        <row r="8">
          <cell r="B8" t="str">
            <v>1.1</v>
          </cell>
          <cell r="C8" t="str">
            <v>Share of Central Taxes</v>
          </cell>
          <cell r="D8">
            <v>1849.95</v>
          </cell>
          <cell r="E8">
            <v>321.5</v>
          </cell>
          <cell r="F8">
            <v>310.82</v>
          </cell>
          <cell r="G8">
            <v>371.34</v>
          </cell>
          <cell r="H8">
            <v>331.68</v>
          </cell>
          <cell r="I8">
            <v>388.49</v>
          </cell>
          <cell r="J8">
            <v>388.49</v>
          </cell>
        </row>
        <row r="9">
          <cell r="B9" t="str">
            <v>1.2</v>
          </cell>
          <cell r="C9" t="str">
            <v>State Tax Revenue at base level rates</v>
          </cell>
          <cell r="D9">
            <v>200.93</v>
          </cell>
          <cell r="E9">
            <v>36.700000000000003</v>
          </cell>
          <cell r="F9">
            <v>35.72</v>
          </cell>
          <cell r="G9">
            <v>50.13</v>
          </cell>
          <cell r="H9">
            <v>30.75</v>
          </cell>
          <cell r="I9">
            <v>97.17</v>
          </cell>
          <cell r="J9">
            <v>70.849999999999994</v>
          </cell>
        </row>
        <row r="10">
          <cell r="B10" t="str">
            <v>2.</v>
          </cell>
          <cell r="C10" t="str">
            <v>Non-Tax Revenue</v>
          </cell>
          <cell r="D10">
            <v>226.51</v>
          </cell>
          <cell r="E10">
            <v>31.96</v>
          </cell>
          <cell r="F10">
            <v>-28.62</v>
          </cell>
          <cell r="G10">
            <v>54.33</v>
          </cell>
          <cell r="H10">
            <v>-10.57</v>
          </cell>
          <cell r="I10">
            <v>7.38</v>
          </cell>
          <cell r="J10">
            <v>-39.54</v>
          </cell>
        </row>
        <row r="11">
          <cell r="B11" t="str">
            <v>3.</v>
          </cell>
          <cell r="C11" t="str">
            <v>Grants from Centre (Non-Plan) #</v>
          </cell>
          <cell r="D11">
            <v>195.74</v>
          </cell>
          <cell r="E11">
            <v>53.71</v>
          </cell>
          <cell r="F11">
            <v>58.99</v>
          </cell>
          <cell r="G11">
            <v>21.54</v>
          </cell>
          <cell r="H11">
            <v>52.29</v>
          </cell>
          <cell r="I11">
            <v>30.03</v>
          </cell>
          <cell r="J11">
            <v>35.06</v>
          </cell>
        </row>
        <row r="12">
          <cell r="C12" t="str">
            <v>a) Revenue Gap Grant</v>
          </cell>
          <cell r="D12">
            <v>183.04</v>
          </cell>
          <cell r="E12">
            <v>51.31</v>
          </cell>
          <cell r="F12">
            <v>51.31</v>
          </cell>
          <cell r="G12">
            <v>17.899999999999999</v>
          </cell>
          <cell r="H12">
            <v>17.899999999999999</v>
          </cell>
          <cell r="I12">
            <v>0</v>
          </cell>
          <cell r="J12">
            <v>0</v>
          </cell>
        </row>
        <row r="13">
          <cell r="C13" t="str">
            <v>b) Grants for Natural Calamities</v>
          </cell>
          <cell r="D13">
            <v>8.56</v>
          </cell>
          <cell r="E13">
            <v>1.96</v>
          </cell>
          <cell r="F13">
            <v>1.96</v>
          </cell>
          <cell r="G13">
            <v>2.06</v>
          </cell>
          <cell r="H13">
            <v>2.06</v>
          </cell>
          <cell r="I13">
            <v>2.15</v>
          </cell>
          <cell r="J13">
            <v>2.15</v>
          </cell>
        </row>
        <row r="14">
          <cell r="C14" t="str">
            <v>c) Grants in lieu of tax on Railways fares</v>
          </cell>
          <cell r="D14">
            <v>0.56000000000000005</v>
          </cell>
          <cell r="E14">
            <v>0.1</v>
          </cell>
          <cell r="F14">
            <v>7.0000000000000007E-2</v>
          </cell>
          <cell r="G14">
            <v>7.0000000000000007E-2</v>
          </cell>
          <cell r="H14">
            <v>7.0000000000000007E-2</v>
          </cell>
          <cell r="I14">
            <v>7.0000000000000007E-2</v>
          </cell>
          <cell r="J14">
            <v>7.0000000000000007E-2</v>
          </cell>
        </row>
        <row r="15">
          <cell r="C15" t="str">
            <v>d) Agricultural Wealth Tax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C16" t="str">
            <v>e) Others,if any</v>
          </cell>
          <cell r="D16">
            <v>3.58</v>
          </cell>
          <cell r="E16">
            <v>0.34</v>
          </cell>
          <cell r="F16">
            <v>5.65</v>
          </cell>
          <cell r="G16">
            <v>1.51</v>
          </cell>
          <cell r="H16">
            <v>32.26</v>
          </cell>
          <cell r="I16">
            <v>27.81</v>
          </cell>
          <cell r="J16">
            <v>32.840000000000003</v>
          </cell>
        </row>
        <row r="17">
          <cell r="B17" t="str">
            <v>4.</v>
          </cell>
          <cell r="C17" t="str">
            <v>Transfer from funds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 t="str">
            <v>II.</v>
          </cell>
          <cell r="B18" t="str">
            <v>NON-PLAN REVENUE EXPENDITURE (1 to 5)</v>
          </cell>
          <cell r="D18">
            <v>2770.93</v>
          </cell>
          <cell r="E18">
            <v>556.79999999999995</v>
          </cell>
          <cell r="F18">
            <v>536.51</v>
          </cell>
          <cell r="G18">
            <v>749.06</v>
          </cell>
          <cell r="H18">
            <v>566.29999999999995</v>
          </cell>
          <cell r="I18">
            <v>840.49</v>
          </cell>
          <cell r="J18">
            <v>948.37</v>
          </cell>
        </row>
        <row r="19">
          <cell r="B19" t="str">
            <v>1.</v>
          </cell>
          <cell r="C19" t="str">
            <v>Non-Plan Non-development(Total a+b)</v>
          </cell>
          <cell r="D19">
            <v>1255.25</v>
          </cell>
          <cell r="E19">
            <v>247.26</v>
          </cell>
          <cell r="F19">
            <v>274.02999999999997</v>
          </cell>
          <cell r="G19">
            <v>279.06</v>
          </cell>
          <cell r="H19">
            <v>285.89999999999998</v>
          </cell>
          <cell r="I19">
            <v>328.51</v>
          </cell>
          <cell r="J19">
            <v>418.06</v>
          </cell>
        </row>
        <row r="20">
          <cell r="B20" t="str">
            <v>a)</v>
          </cell>
          <cell r="C20" t="str">
            <v>Debt Services Total (i+ii)</v>
          </cell>
          <cell r="D20">
            <v>424.72</v>
          </cell>
          <cell r="E20">
            <v>74.680000000000007</v>
          </cell>
          <cell r="F20">
            <v>78.900000000000006</v>
          </cell>
          <cell r="G20">
            <v>84.5</v>
          </cell>
          <cell r="H20">
            <v>91.28</v>
          </cell>
          <cell r="I20">
            <v>94.02</v>
          </cell>
          <cell r="J20">
            <v>98.72</v>
          </cell>
        </row>
        <row r="21">
          <cell r="C21" t="str">
            <v xml:space="preserve">    i)  Interest Payments</v>
          </cell>
          <cell r="D21">
            <v>424.72</v>
          </cell>
          <cell r="E21">
            <v>74.680000000000007</v>
          </cell>
          <cell r="F21">
            <v>78.900000000000006</v>
          </cell>
          <cell r="G21">
            <v>84.5</v>
          </cell>
          <cell r="H21">
            <v>91.28</v>
          </cell>
          <cell r="I21">
            <v>94.02</v>
          </cell>
          <cell r="J21">
            <v>98.72</v>
          </cell>
        </row>
        <row r="22">
          <cell r="C22" t="str">
            <v xml:space="preserve">   ii) Appropriation for reduction or avoidance of debt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b)</v>
          </cell>
          <cell r="C23" t="str">
            <v>Other Non-development</v>
          </cell>
          <cell r="D23">
            <v>830.53</v>
          </cell>
          <cell r="E23">
            <v>172.58</v>
          </cell>
          <cell r="F23">
            <v>195.13</v>
          </cell>
          <cell r="G23">
            <v>194.56</v>
          </cell>
          <cell r="H23">
            <v>194.62</v>
          </cell>
          <cell r="I23">
            <v>234.49</v>
          </cell>
          <cell r="J23">
            <v>319.33999999999997</v>
          </cell>
        </row>
        <row r="24">
          <cell r="B24" t="str">
            <v>2.</v>
          </cell>
          <cell r="C24" t="str">
            <v>Non-Plan Development</v>
          </cell>
          <cell r="D24">
            <v>1261.8900000000001</v>
          </cell>
          <cell r="E24">
            <v>231.47</v>
          </cell>
          <cell r="F24">
            <v>262.48</v>
          </cell>
          <cell r="G24">
            <v>286.23</v>
          </cell>
          <cell r="H24">
            <v>280.39999999999998</v>
          </cell>
          <cell r="I24">
            <v>294.64</v>
          </cell>
          <cell r="J24">
            <v>510.31</v>
          </cell>
        </row>
        <row r="25">
          <cell r="B25" t="str">
            <v>3.</v>
          </cell>
          <cell r="C25" t="str">
            <v>Transfer of funds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4.</v>
          </cell>
          <cell r="C26" t="str">
            <v>Revision of DA and pay scales, bonus etc. not included under above items (in respect of Non-Plan Expenditure)</v>
          </cell>
          <cell r="D26">
            <v>253.79</v>
          </cell>
          <cell r="E26">
            <v>78.069999999999993</v>
          </cell>
          <cell r="F26">
            <v>0</v>
          </cell>
          <cell r="G26">
            <v>183.77</v>
          </cell>
          <cell r="H26">
            <v>0</v>
          </cell>
          <cell r="I26">
            <v>217.34</v>
          </cell>
          <cell r="J26">
            <v>20</v>
          </cell>
        </row>
        <row r="27">
          <cell r="B27" t="str">
            <v>5.</v>
          </cell>
          <cell r="C27" t="str">
            <v>Committed liability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III.</v>
          </cell>
          <cell r="B28" t="str">
            <v>BCR with ARM (I-II)</v>
          </cell>
          <cell r="D28">
            <v>-297.8</v>
          </cell>
          <cell r="E28">
            <v>-112.93</v>
          </cell>
          <cell r="F28">
            <v>-159.6</v>
          </cell>
          <cell r="G28">
            <v>-251.72</v>
          </cell>
          <cell r="H28">
            <v>-162.15</v>
          </cell>
          <cell r="I28">
            <v>-317.42</v>
          </cell>
          <cell r="J28">
            <v>-493.51</v>
          </cell>
        </row>
        <row r="29">
          <cell r="B29" t="str">
            <v xml:space="preserve">    -  Of which ARM</v>
          </cell>
          <cell r="D29" t="str">
            <v>(59.27)</v>
          </cell>
          <cell r="E29">
            <v>0</v>
          </cell>
          <cell r="F29">
            <v>0</v>
          </cell>
          <cell r="G29">
            <v>2.0299999999999998</v>
          </cell>
          <cell r="H29">
            <v>0</v>
          </cell>
          <cell r="I29">
            <v>21.11</v>
          </cell>
          <cell r="J29">
            <v>22.95</v>
          </cell>
        </row>
        <row r="31">
          <cell r="B31" t="str">
            <v xml:space="preserve"># </v>
          </cell>
          <cell r="C31" t="str">
            <v xml:space="preserve"> The share in Central taxes is estimated by assuming a 20% increase over  1999-2000.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Brief"/>
      <sheetName val="BCR1"/>
      <sheetName val="SOF1"/>
      <sheetName val="ARM Matrix"/>
      <sheetName val="BCR-Annex3"/>
      <sheetName val="Vari-Asssam"/>
      <sheetName val="Variation"/>
      <sheetName val="SOF2"/>
      <sheetName val="SOF-Annex1"/>
      <sheetName val="SOF99-00(Rev)"/>
      <sheetName val="SOF-Corex2000-01-Annex2"/>
      <sheetName val="CA-Others"/>
      <sheetName val="BCR3"/>
      <sheetName val="SOF3"/>
      <sheetName val="Appd.SOF"/>
      <sheetName val="Realisation-Xplan"/>
      <sheetName val="SOF_2"/>
      <sheetName val="BCR_2"/>
      <sheetName val="SOF"/>
      <sheetName val="annex III"/>
      <sheetName val="annexII"/>
      <sheetName val="annexI"/>
      <sheetName val="REAL-NINTH-TENTH"/>
      <sheetName val="SOF02-03_Appd."/>
      <sheetName val="TS Indi. Tripura"/>
    </sheetNames>
    <sheetDataSet>
      <sheetData sheetId="0"/>
      <sheetData sheetId="1"/>
      <sheetData sheetId="2"/>
      <sheetData sheetId="3"/>
      <sheetData sheetId="4"/>
      <sheetData sheetId="5" refreshError="1">
        <row r="3">
          <cell r="C3" t="str">
            <v>Items</v>
          </cell>
          <cell r="D3" t="str">
            <v>9th Plan 1997-2002</v>
          </cell>
          <cell r="E3" t="str">
            <v>1997-98</v>
          </cell>
          <cell r="G3" t="str">
            <v>1998-99</v>
          </cell>
          <cell r="I3" t="str">
            <v>1999-2000</v>
          </cell>
        </row>
        <row r="4">
          <cell r="D4" t="str">
            <v>Projections</v>
          </cell>
          <cell r="E4" t="str">
            <v>AP</v>
          </cell>
          <cell r="F4" t="str">
            <v>Actuals</v>
          </cell>
          <cell r="G4" t="str">
            <v>AP</v>
          </cell>
          <cell r="H4" t="str">
            <v>PA</v>
          </cell>
          <cell r="I4" t="str">
            <v>AP</v>
          </cell>
          <cell r="J4" t="str">
            <v>LE</v>
          </cell>
        </row>
        <row r="5">
          <cell r="A5" t="str">
            <v>(i)</v>
          </cell>
          <cell r="D5" t="str">
            <v>(ii)</v>
          </cell>
          <cell r="E5" t="str">
            <v>(iii)</v>
          </cell>
          <cell r="F5" t="str">
            <v>(iv)</v>
          </cell>
          <cell r="G5" t="str">
            <v>(v)</v>
          </cell>
          <cell r="H5" t="str">
            <v>(vi)</v>
          </cell>
          <cell r="I5" t="str">
            <v>(vii)</v>
          </cell>
          <cell r="J5" t="str">
            <v>(viii)</v>
          </cell>
        </row>
        <row r="6">
          <cell r="A6" t="str">
            <v>I.</v>
          </cell>
          <cell r="B6" t="str">
            <v>REVENUE RECEIPTS (1 to 4)</v>
          </cell>
          <cell r="D6">
            <v>13817.37</v>
          </cell>
          <cell r="E6">
            <v>2879.53</v>
          </cell>
          <cell r="F6">
            <v>3077.73</v>
          </cell>
          <cell r="G6">
            <v>3662.31</v>
          </cell>
          <cell r="H6">
            <v>3062.45</v>
          </cell>
          <cell r="I6">
            <v>3701.6</v>
          </cell>
          <cell r="J6">
            <v>3426.21</v>
          </cell>
        </row>
        <row r="7">
          <cell r="B7" t="str">
            <v>1.</v>
          </cell>
          <cell r="C7" t="str">
            <v>Tax Revenues</v>
          </cell>
          <cell r="D7">
            <v>11488.97</v>
          </cell>
          <cell r="E7">
            <v>2313.8000000000002</v>
          </cell>
          <cell r="F7">
            <v>2387.61</v>
          </cell>
          <cell r="G7">
            <v>2753.35</v>
          </cell>
          <cell r="H7">
            <v>2407.17</v>
          </cell>
          <cell r="I7">
            <v>2993.69</v>
          </cell>
          <cell r="J7">
            <v>2806.41</v>
          </cell>
        </row>
        <row r="8">
          <cell r="B8" t="str">
            <v>1.1</v>
          </cell>
          <cell r="C8" t="str">
            <v>Share of Central Taxes</v>
          </cell>
          <cell r="D8">
            <v>6868.61</v>
          </cell>
          <cell r="E8">
            <v>1397.89</v>
          </cell>
          <cell r="F8">
            <v>1475.25</v>
          </cell>
          <cell r="G8">
            <v>1627.33</v>
          </cell>
          <cell r="H8">
            <v>1349.33</v>
          </cell>
          <cell r="I8">
            <v>1480.42</v>
          </cell>
          <cell r="J8">
            <v>1627.33</v>
          </cell>
        </row>
        <row r="9">
          <cell r="B9" t="str">
            <v>1.2</v>
          </cell>
          <cell r="C9" t="str">
            <v>State Tax Revenue at base level rates</v>
          </cell>
          <cell r="D9">
            <v>4620.3599999999997</v>
          </cell>
          <cell r="E9">
            <v>915.91</v>
          </cell>
          <cell r="F9">
            <v>912.36</v>
          </cell>
          <cell r="G9">
            <v>1126.02</v>
          </cell>
          <cell r="H9">
            <v>1057.8399999999999</v>
          </cell>
          <cell r="I9">
            <v>1513.27</v>
          </cell>
          <cell r="J9">
            <v>1179.08</v>
          </cell>
        </row>
        <row r="10">
          <cell r="B10" t="str">
            <v>2.</v>
          </cell>
          <cell r="C10" t="str">
            <v>Non-Tax Revenue</v>
          </cell>
          <cell r="D10">
            <v>1579.06</v>
          </cell>
          <cell r="E10">
            <v>376.67</v>
          </cell>
          <cell r="F10">
            <v>381.2</v>
          </cell>
          <cell r="G10">
            <v>365.85</v>
          </cell>
          <cell r="H10">
            <v>371.39</v>
          </cell>
          <cell r="I10">
            <v>371.71</v>
          </cell>
          <cell r="J10">
            <v>389.7</v>
          </cell>
        </row>
        <row r="11">
          <cell r="B11" t="str">
            <v>3.</v>
          </cell>
          <cell r="C11" t="str">
            <v>Grants from Centre (Non-Plan)</v>
          </cell>
          <cell r="D11">
            <v>749.34</v>
          </cell>
          <cell r="E11">
            <v>189.06</v>
          </cell>
          <cell r="F11">
            <v>308.92</v>
          </cell>
          <cell r="G11">
            <v>543.11</v>
          </cell>
          <cell r="H11">
            <v>283.89</v>
          </cell>
          <cell r="I11">
            <v>336.2</v>
          </cell>
          <cell r="J11">
            <v>230.1</v>
          </cell>
        </row>
        <row r="12">
          <cell r="C12" t="str">
            <v>a) Revenue Gap Grant</v>
          </cell>
          <cell r="E12">
            <v>92.08</v>
          </cell>
          <cell r="F12">
            <v>92.08</v>
          </cell>
          <cell r="G12">
            <v>27.81</v>
          </cell>
          <cell r="H12">
            <v>27.81</v>
          </cell>
          <cell r="I12">
            <v>0</v>
          </cell>
          <cell r="J12">
            <v>0</v>
          </cell>
        </row>
        <row r="13">
          <cell r="C13" t="str">
            <v>b) Grants for Natural Calamities</v>
          </cell>
          <cell r="E13">
            <v>39.58</v>
          </cell>
          <cell r="F13">
            <v>39.58</v>
          </cell>
          <cell r="G13">
            <v>41.6</v>
          </cell>
          <cell r="H13">
            <v>101.5</v>
          </cell>
          <cell r="I13">
            <v>43.37</v>
          </cell>
          <cell r="J13">
            <v>43.37</v>
          </cell>
        </row>
        <row r="14">
          <cell r="C14" t="str">
            <v>c) Grants in lieu of tax on Railways fares</v>
          </cell>
          <cell r="E14">
            <v>5.2</v>
          </cell>
          <cell r="F14">
            <v>5.2</v>
          </cell>
          <cell r="G14">
            <v>5.2</v>
          </cell>
          <cell r="H14">
            <v>5.2</v>
          </cell>
          <cell r="I14">
            <v>5.2</v>
          </cell>
          <cell r="J14">
            <v>5.2</v>
          </cell>
        </row>
        <row r="15">
          <cell r="C15" t="str">
            <v>d) Agricultural Wealth Tax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C16" t="str">
            <v>e) Others,if any</v>
          </cell>
          <cell r="E16">
            <v>52.2</v>
          </cell>
          <cell r="F16">
            <v>172.06</v>
          </cell>
          <cell r="G16">
            <v>468.5</v>
          </cell>
          <cell r="H16">
            <v>149.38</v>
          </cell>
          <cell r="I16">
            <v>287.63</v>
          </cell>
          <cell r="J16">
            <v>181.53</v>
          </cell>
        </row>
        <row r="17">
          <cell r="B17" t="str">
            <v>4.</v>
          </cell>
          <cell r="C17" t="str">
            <v>Transfer from funds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 t="str">
            <v>II.</v>
          </cell>
          <cell r="B18" t="str">
            <v>NON-PLAN REVENUE EXPENDITURE (1 to 5)</v>
          </cell>
          <cell r="D18">
            <v>15032.39</v>
          </cell>
          <cell r="E18">
            <v>3427.32</v>
          </cell>
          <cell r="F18">
            <v>3065.52</v>
          </cell>
          <cell r="G18">
            <v>4057.55</v>
          </cell>
          <cell r="H18">
            <v>3099.36</v>
          </cell>
          <cell r="I18">
            <v>4533.88</v>
          </cell>
          <cell r="J18">
            <v>4784.58</v>
          </cell>
        </row>
        <row r="19">
          <cell r="B19" t="str">
            <v>1.</v>
          </cell>
          <cell r="C19" t="str">
            <v>Non-Plan Non-development(Total a+b)</v>
          </cell>
          <cell r="D19">
            <v>6865.39</v>
          </cell>
          <cell r="E19">
            <v>1536.3</v>
          </cell>
          <cell r="F19">
            <v>1589.9</v>
          </cell>
          <cell r="G19">
            <v>1824.9</v>
          </cell>
          <cell r="H19">
            <v>1396.45</v>
          </cell>
          <cell r="I19">
            <v>1972.13</v>
          </cell>
          <cell r="J19">
            <v>2406.13</v>
          </cell>
        </row>
        <row r="20">
          <cell r="B20" t="str">
            <v>a)</v>
          </cell>
          <cell r="C20" t="str">
            <v>Debt Services Total (i+ii)</v>
          </cell>
          <cell r="D20">
            <v>2786</v>
          </cell>
          <cell r="E20">
            <v>596.82000000000005</v>
          </cell>
          <cell r="F20">
            <v>638.92999999999995</v>
          </cell>
          <cell r="G20">
            <v>715</v>
          </cell>
          <cell r="H20">
            <v>325.22000000000003</v>
          </cell>
          <cell r="I20">
            <v>813.64</v>
          </cell>
          <cell r="J20">
            <v>861.77</v>
          </cell>
        </row>
        <row r="21">
          <cell r="C21" t="str">
            <v xml:space="preserve">    i)  Interest Payments</v>
          </cell>
          <cell r="D21">
            <v>2786</v>
          </cell>
          <cell r="E21">
            <v>596.82000000000005</v>
          </cell>
          <cell r="F21">
            <v>638.92999999999995</v>
          </cell>
          <cell r="G21">
            <v>715</v>
          </cell>
          <cell r="H21">
            <v>325.22000000000003</v>
          </cell>
          <cell r="I21">
            <v>813.64</v>
          </cell>
          <cell r="J21">
            <v>861.77</v>
          </cell>
        </row>
        <row r="22">
          <cell r="C22" t="str">
            <v xml:space="preserve">   ii) Appropriation for reduction or avoidance of debt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b)</v>
          </cell>
          <cell r="C23" t="str">
            <v>Other Non-development</v>
          </cell>
          <cell r="D23">
            <v>4079.39</v>
          </cell>
          <cell r="E23">
            <v>939.48</v>
          </cell>
          <cell r="F23">
            <v>950.97</v>
          </cell>
          <cell r="G23">
            <v>1109.9000000000001</v>
          </cell>
          <cell r="H23">
            <v>1071.23</v>
          </cell>
          <cell r="I23">
            <v>1158.49</v>
          </cell>
          <cell r="J23">
            <v>1544.36</v>
          </cell>
        </row>
        <row r="24">
          <cell r="B24" t="str">
            <v>2.</v>
          </cell>
          <cell r="C24" t="str">
            <v>Non-Plan Development</v>
          </cell>
          <cell r="D24">
            <v>6574</v>
          </cell>
          <cell r="E24">
            <v>1526.02</v>
          </cell>
          <cell r="F24">
            <v>1475.62</v>
          </cell>
          <cell r="G24">
            <v>1632.65</v>
          </cell>
          <cell r="H24">
            <v>1702.91</v>
          </cell>
          <cell r="I24">
            <v>1974.75</v>
          </cell>
          <cell r="J24">
            <v>2378.4499999999998</v>
          </cell>
        </row>
        <row r="25">
          <cell r="B25" t="str">
            <v>3.</v>
          </cell>
          <cell r="C25" t="str">
            <v>Transfer of funds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4.</v>
          </cell>
          <cell r="C26" t="str">
            <v>Revision of DA and pay scales, bonus etc. not included under above items (in respect of Non-Plan Expenditure)</v>
          </cell>
          <cell r="D26">
            <v>1593</v>
          </cell>
          <cell r="E26">
            <v>365</v>
          </cell>
          <cell r="F26">
            <v>0</v>
          </cell>
          <cell r="G26">
            <v>600</v>
          </cell>
          <cell r="H26">
            <v>0</v>
          </cell>
          <cell r="I26">
            <v>587</v>
          </cell>
          <cell r="J26">
            <v>0</v>
          </cell>
        </row>
        <row r="27">
          <cell r="B27" t="str">
            <v>5.</v>
          </cell>
          <cell r="C27" t="str">
            <v>Committed liability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III.</v>
          </cell>
          <cell r="B28" t="str">
            <v>BCR with ARM (I-II)</v>
          </cell>
          <cell r="D28">
            <v>-1215.02</v>
          </cell>
          <cell r="E28">
            <v>-547.79</v>
          </cell>
          <cell r="F28">
            <v>12.21</v>
          </cell>
          <cell r="G28">
            <v>-395.24</v>
          </cell>
          <cell r="H28">
            <v>-36.909999999999997</v>
          </cell>
          <cell r="I28">
            <v>-832.28</v>
          </cell>
          <cell r="J28">
            <v>-1358.37</v>
          </cell>
        </row>
        <row r="29">
          <cell r="B29" t="str">
            <v xml:space="preserve">    -  Of which ARM</v>
          </cell>
          <cell r="D29" t="str">
            <v>(0.00)</v>
          </cell>
          <cell r="E29">
            <v>0</v>
          </cell>
          <cell r="F29">
            <v>30.44</v>
          </cell>
          <cell r="G29">
            <v>176.71</v>
          </cell>
          <cell r="H29">
            <v>38.15</v>
          </cell>
          <cell r="I29">
            <v>215</v>
          </cell>
          <cell r="J29">
            <v>2.92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Brief"/>
      <sheetName val="Brief (2)"/>
      <sheetName val="BCR1"/>
      <sheetName val="SOF1"/>
      <sheetName val="BCR-Annex3"/>
      <sheetName val="Variation"/>
      <sheetName val="SOF2"/>
      <sheetName val="SOF-Annex1"/>
      <sheetName val="SOF-Annex1Manik"/>
      <sheetName val="SOF-Corex2000-01-Annex2"/>
      <sheetName val="CA-Others"/>
      <sheetName val="BCR3"/>
      <sheetName val="SOF3"/>
      <sheetName val="Appd.SO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Gs BCR"/>
      <sheetName val="SG's SOF"/>
      <sheetName val="CPAGE"/>
      <sheetName val="CONTENTS"/>
      <sheetName val="FORM1"/>
      <sheetName val="FORM2"/>
      <sheetName val="FORM3"/>
      <sheetName val="FORM4"/>
      <sheetName val="FORM5"/>
      <sheetName val="FORM6"/>
      <sheetName val="FORM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  <pageSetUpPr fitToPage="1"/>
  </sheetPr>
  <dimension ref="A1:P127"/>
  <sheetViews>
    <sheetView tabSelected="1" view="pageBreakPreview" zoomScale="85" zoomScaleNormal="100" zoomScaleSheetLayoutView="85" workbookViewId="0">
      <pane xSplit="2" ySplit="6" topLeftCell="C7" activePane="bottomRight" state="frozen"/>
      <selection activeCell="J4" sqref="J4:P5"/>
      <selection pane="topRight" activeCell="J4" sqref="J4:P5"/>
      <selection pane="bottomLeft" activeCell="J4" sqref="J4:P5"/>
      <selection pane="bottomRight" activeCell="F11" sqref="F11"/>
    </sheetView>
  </sheetViews>
  <sheetFormatPr defaultRowHeight="14.25"/>
  <cols>
    <col min="1" max="1" width="6.140625" style="258" customWidth="1"/>
    <col min="2" max="2" width="39" style="304" customWidth="1"/>
    <col min="3" max="3" width="15.28515625" style="258" customWidth="1"/>
    <col min="4" max="4" width="14.7109375" style="258" customWidth="1"/>
    <col min="5" max="5" width="13.42578125" style="258" customWidth="1"/>
    <col min="6" max="6" width="15" style="258" customWidth="1"/>
    <col min="7" max="7" width="14" style="258" customWidth="1"/>
    <col min="8" max="9" width="14.5703125" style="258" customWidth="1"/>
    <col min="10" max="13" width="16.85546875" style="258" customWidth="1"/>
    <col min="14" max="15" width="15" style="258" customWidth="1"/>
    <col min="16" max="16" width="12.7109375" style="258" customWidth="1"/>
    <col min="17" max="16384" width="9.140625" style="258"/>
  </cols>
  <sheetData>
    <row r="1" spans="1:16" ht="28.5" customHeight="1">
      <c r="A1" s="505" t="s">
        <v>312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</row>
    <row r="2" spans="1:16" ht="21" customHeight="1">
      <c r="A2" s="259"/>
      <c r="B2" s="260">
        <v>41834</v>
      </c>
      <c r="C2" s="261"/>
      <c r="D2" s="261"/>
      <c r="E2" s="261"/>
      <c r="F2" s="259"/>
      <c r="G2" s="262"/>
      <c r="H2" s="259"/>
      <c r="I2" s="259"/>
      <c r="N2" s="512" t="s">
        <v>195</v>
      </c>
      <c r="O2" s="512"/>
      <c r="P2" s="512"/>
    </row>
    <row r="3" spans="1:16" s="265" customFormat="1" ht="17.25" customHeight="1">
      <c r="A3" s="506" t="s">
        <v>71</v>
      </c>
      <c r="B3" s="506" t="s">
        <v>196</v>
      </c>
      <c r="C3" s="263" t="s">
        <v>48</v>
      </c>
      <c r="D3" s="263" t="s">
        <v>49</v>
      </c>
      <c r="E3" s="263" t="s">
        <v>5</v>
      </c>
      <c r="F3" s="263" t="s">
        <v>6</v>
      </c>
      <c r="G3" s="263" t="s">
        <v>7</v>
      </c>
      <c r="H3" s="263" t="s">
        <v>122</v>
      </c>
      <c r="I3" s="263" t="s">
        <v>139</v>
      </c>
      <c r="J3" s="264" t="s">
        <v>48</v>
      </c>
      <c r="K3" s="264" t="s">
        <v>49</v>
      </c>
      <c r="L3" s="264" t="s">
        <v>5</v>
      </c>
      <c r="M3" s="264" t="s">
        <v>6</v>
      </c>
      <c r="N3" s="264" t="s">
        <v>7</v>
      </c>
      <c r="O3" s="264" t="s">
        <v>122</v>
      </c>
      <c r="P3" s="264" t="s">
        <v>139</v>
      </c>
    </row>
    <row r="4" spans="1:16" s="268" customFormat="1" ht="42.75" customHeight="1">
      <c r="A4" s="506"/>
      <c r="B4" s="506"/>
      <c r="C4" s="266" t="s">
        <v>197</v>
      </c>
      <c r="D4" s="266" t="s">
        <v>197</v>
      </c>
      <c r="E4" s="266" t="s">
        <v>197</v>
      </c>
      <c r="F4" s="266" t="s">
        <v>197</v>
      </c>
      <c r="G4" s="266" t="s">
        <v>197</v>
      </c>
      <c r="H4" s="266" t="s">
        <v>198</v>
      </c>
      <c r="I4" s="266" t="s">
        <v>199</v>
      </c>
      <c r="J4" s="267" t="s">
        <v>197</v>
      </c>
      <c r="K4" s="267" t="s">
        <v>197</v>
      </c>
      <c r="L4" s="267" t="s">
        <v>197</v>
      </c>
      <c r="M4" s="267" t="s">
        <v>197</v>
      </c>
      <c r="N4" s="267" t="s">
        <v>197</v>
      </c>
      <c r="O4" s="267" t="s">
        <v>199</v>
      </c>
      <c r="P4" s="267" t="s">
        <v>199</v>
      </c>
    </row>
    <row r="5" spans="1:16" s="269" customFormat="1" ht="27.75" customHeight="1">
      <c r="A5" s="506"/>
      <c r="B5" s="506"/>
      <c r="C5" s="507" t="s">
        <v>200</v>
      </c>
      <c r="D5" s="508"/>
      <c r="E5" s="508"/>
      <c r="F5" s="508"/>
      <c r="G5" s="508"/>
      <c r="H5" s="508"/>
      <c r="I5" s="509"/>
      <c r="J5" s="510" t="s">
        <v>201</v>
      </c>
      <c r="K5" s="511"/>
      <c r="L5" s="511"/>
      <c r="M5" s="511"/>
      <c r="N5" s="511"/>
      <c r="O5" s="511"/>
      <c r="P5" s="511"/>
    </row>
    <row r="6" spans="1:16" ht="22.5" customHeight="1">
      <c r="A6" s="270"/>
      <c r="B6" s="500" t="s">
        <v>11</v>
      </c>
      <c r="C6" s="501"/>
      <c r="D6" s="271"/>
      <c r="E6" s="271"/>
      <c r="F6" s="271"/>
      <c r="G6" s="271"/>
      <c r="H6" s="271"/>
      <c r="I6" s="271"/>
      <c r="J6" s="267"/>
      <c r="K6" s="267"/>
      <c r="L6" s="267"/>
      <c r="M6" s="267"/>
      <c r="N6" s="267"/>
      <c r="O6" s="267"/>
      <c r="P6" s="267"/>
    </row>
    <row r="7" spans="1:16" ht="24.75" customHeight="1">
      <c r="A7" s="272">
        <v>1</v>
      </c>
      <c r="B7" s="273" t="s">
        <v>12</v>
      </c>
      <c r="C7" s="274">
        <v>1082.9847</v>
      </c>
      <c r="D7" s="274">
        <v>1739.2817000000002</v>
      </c>
      <c r="E7" s="274">
        <v>2016.01</v>
      </c>
      <c r="F7" s="274">
        <v>2555.12</v>
      </c>
      <c r="G7" s="274">
        <v>2942.6023</v>
      </c>
      <c r="H7" s="275">
        <v>3535</v>
      </c>
      <c r="I7" s="275">
        <v>3700</v>
      </c>
      <c r="J7" s="276">
        <f t="shared" ref="J7:J17" si="0">+C7/$C$52</f>
        <v>1024.04090548054</v>
      </c>
      <c r="K7" s="276">
        <f t="shared" ref="K7:K17" si="1">+D7/$D$52</f>
        <v>1513.4717194570137</v>
      </c>
      <c r="L7" s="276">
        <f t="shared" ref="L7:L17" si="2">+E7/$E$52</f>
        <v>1653.9856261485954</v>
      </c>
      <c r="M7" s="276">
        <f t="shared" ref="M7:M17" si="3">+F7/$F$52</f>
        <v>1923.4857495596141</v>
      </c>
      <c r="N7" s="276">
        <f t="shared" ref="N7:N17" si="4">+G7/$F$52</f>
        <v>2215.1811228714678</v>
      </c>
      <c r="O7" s="276">
        <f t="shared" ref="O7:O17" si="5">+H7/$F$52</f>
        <v>2661.1361206883576</v>
      </c>
      <c r="P7" s="276">
        <f t="shared" ref="P7:P17" si="6">+I7/$F$52</f>
        <v>2785.3475662084647</v>
      </c>
    </row>
    <row r="8" spans="1:16" ht="20.100000000000001" customHeight="1">
      <c r="A8" s="272">
        <v>2</v>
      </c>
      <c r="B8" s="273" t="s">
        <v>13</v>
      </c>
      <c r="C8" s="274">
        <v>2669.2779999999998</v>
      </c>
      <c r="D8" s="274">
        <v>3593.7552000000001</v>
      </c>
      <c r="E8" s="274">
        <v>5023.0895</v>
      </c>
      <c r="F8" s="274">
        <v>6883.09</v>
      </c>
      <c r="G8" s="274">
        <v>6408.8506000000007</v>
      </c>
      <c r="H8" s="275">
        <v>10500</v>
      </c>
      <c r="I8" s="275">
        <v>12500.000000000002</v>
      </c>
      <c r="J8" s="276">
        <f t="shared" si="0"/>
        <v>2523.9967472294711</v>
      </c>
      <c r="K8" s="276">
        <f t="shared" si="1"/>
        <v>3127.1799512704492</v>
      </c>
      <c r="L8" s="276">
        <f t="shared" si="2"/>
        <v>4121.069752559727</v>
      </c>
      <c r="M8" s="276">
        <f t="shared" si="3"/>
        <v>5181.5670214848169</v>
      </c>
      <c r="N8" s="276">
        <f t="shared" si="4"/>
        <v>4824.5611948388269</v>
      </c>
      <c r="O8" s="276">
        <f t="shared" si="5"/>
        <v>7904.3647149159133</v>
      </c>
      <c r="P8" s="276">
        <f t="shared" si="6"/>
        <v>9409.957993947517</v>
      </c>
    </row>
    <row r="9" spans="1:16" ht="20.100000000000001" customHeight="1">
      <c r="A9" s="272">
        <v>3</v>
      </c>
      <c r="B9" s="273" t="s">
        <v>14</v>
      </c>
      <c r="C9" s="274">
        <v>2098.7462</v>
      </c>
      <c r="D9" s="274">
        <v>2285.9520000000002</v>
      </c>
      <c r="E9" s="274">
        <v>2807.67</v>
      </c>
      <c r="F9" s="274">
        <v>3104.9</v>
      </c>
      <c r="G9" s="274">
        <v>3481.93</v>
      </c>
      <c r="H9" s="275">
        <v>3722.79</v>
      </c>
      <c r="I9" s="275">
        <v>4100</v>
      </c>
      <c r="J9" s="276">
        <f t="shared" si="0"/>
        <v>1984.517379628579</v>
      </c>
      <c r="K9" s="276">
        <f t="shared" si="1"/>
        <v>1989.1681169509225</v>
      </c>
      <c r="L9" s="276">
        <f t="shared" si="2"/>
        <v>2303.4835258598059</v>
      </c>
      <c r="M9" s="276">
        <f t="shared" si="3"/>
        <v>2337.3582860326114</v>
      </c>
      <c r="N9" s="276">
        <f t="shared" si="4"/>
        <v>2621.1852030292539</v>
      </c>
      <c r="O9" s="276">
        <f t="shared" si="5"/>
        <v>2802.5038016230296</v>
      </c>
      <c r="P9" s="276">
        <f t="shared" si="6"/>
        <v>3086.4662220147852</v>
      </c>
    </row>
    <row r="10" spans="1:16" ht="20.100000000000001" customHeight="1">
      <c r="A10" s="272">
        <v>4</v>
      </c>
      <c r="B10" s="273" t="s">
        <v>52</v>
      </c>
      <c r="C10" s="274">
        <v>4403.3104999999996</v>
      </c>
      <c r="D10" s="274">
        <v>4826.7001</v>
      </c>
      <c r="E10" s="274">
        <v>5279.1410999999998</v>
      </c>
      <c r="F10" s="274">
        <v>5768.05</v>
      </c>
      <c r="G10" s="274">
        <v>6357.4004000000004</v>
      </c>
      <c r="H10" s="275">
        <v>7300</v>
      </c>
      <c r="I10" s="275">
        <v>7300</v>
      </c>
      <c r="J10" s="276">
        <f t="shared" si="0"/>
        <v>4163.6507621316987</v>
      </c>
      <c r="K10" s="276">
        <f t="shared" si="1"/>
        <v>4200.0522972502613</v>
      </c>
      <c r="L10" s="276">
        <f t="shared" si="2"/>
        <v>4331.140965476503</v>
      </c>
      <c r="M10" s="276">
        <f t="shared" si="3"/>
        <v>4342.1686565591172</v>
      </c>
      <c r="N10" s="276">
        <f t="shared" si="4"/>
        <v>4785.8296571764113</v>
      </c>
      <c r="O10" s="276">
        <f t="shared" si="5"/>
        <v>5495.4154684653495</v>
      </c>
      <c r="P10" s="276">
        <f t="shared" si="6"/>
        <v>5495.4154684653495</v>
      </c>
    </row>
    <row r="11" spans="1:16" ht="20.100000000000001" customHeight="1">
      <c r="A11" s="272">
        <v>5</v>
      </c>
      <c r="B11" s="273" t="s">
        <v>16</v>
      </c>
      <c r="C11" s="274">
        <v>1336.5032000000001</v>
      </c>
      <c r="D11" s="274">
        <v>1521.5023000000001</v>
      </c>
      <c r="E11" s="274">
        <v>1784.4138</v>
      </c>
      <c r="F11" s="274">
        <v>1680.11</v>
      </c>
      <c r="G11" s="274">
        <v>2172.7190000000001</v>
      </c>
      <c r="H11" s="275">
        <v>2218.8953000000001</v>
      </c>
      <c r="I11" s="275">
        <v>3650</v>
      </c>
      <c r="J11" s="276">
        <f t="shared" si="0"/>
        <v>1263.7611104807293</v>
      </c>
      <c r="K11" s="276">
        <f t="shared" si="1"/>
        <v>1323.966498433693</v>
      </c>
      <c r="L11" s="276">
        <f t="shared" si="2"/>
        <v>1463.9782423208192</v>
      </c>
      <c r="M11" s="276">
        <f t="shared" si="3"/>
        <v>1264.7811620168927</v>
      </c>
      <c r="N11" s="276">
        <f t="shared" si="4"/>
        <v>1635.6155618121322</v>
      </c>
      <c r="O11" s="276">
        <f t="shared" si="5"/>
        <v>1670.3769252774057</v>
      </c>
      <c r="P11" s="276">
        <f t="shared" si="6"/>
        <v>2747.7077342326747</v>
      </c>
    </row>
    <row r="12" spans="1:16" ht="20.100000000000001" customHeight="1">
      <c r="A12" s="272">
        <v>6</v>
      </c>
      <c r="B12" s="273" t="s">
        <v>17</v>
      </c>
      <c r="C12" s="274">
        <v>984.06539999999995</v>
      </c>
      <c r="D12" s="274">
        <v>1386.9577999999999</v>
      </c>
      <c r="E12" s="274">
        <v>1417.8633</v>
      </c>
      <c r="F12" s="274">
        <v>2109.19</v>
      </c>
      <c r="G12" s="274">
        <v>2507.5828000000001</v>
      </c>
      <c r="H12" s="275">
        <v>3475</v>
      </c>
      <c r="I12" s="275">
        <v>4151</v>
      </c>
      <c r="J12" s="276">
        <f t="shared" si="0"/>
        <v>930.50550323385903</v>
      </c>
      <c r="K12" s="276">
        <f t="shared" si="1"/>
        <v>1206.8898364079359</v>
      </c>
      <c r="L12" s="276">
        <f t="shared" si="2"/>
        <v>1163.2509352848517</v>
      </c>
      <c r="M12" s="276">
        <f t="shared" si="3"/>
        <v>1587.791144100333</v>
      </c>
      <c r="N12" s="276">
        <f t="shared" si="4"/>
        <v>1887.6999051476237</v>
      </c>
      <c r="O12" s="276">
        <f t="shared" si="5"/>
        <v>2615.9683223174093</v>
      </c>
      <c r="P12" s="276">
        <f t="shared" si="6"/>
        <v>3124.8588506300912</v>
      </c>
    </row>
    <row r="13" spans="1:16" ht="20.100000000000001" customHeight="1">
      <c r="A13" s="272">
        <v>7</v>
      </c>
      <c r="B13" s="273" t="s">
        <v>18</v>
      </c>
      <c r="C13" s="274">
        <v>767.33350000000007</v>
      </c>
      <c r="D13" s="274">
        <v>822.52809999999999</v>
      </c>
      <c r="E13" s="274">
        <v>1067.2208000000001</v>
      </c>
      <c r="F13" s="274">
        <v>1110.69</v>
      </c>
      <c r="G13" s="274">
        <v>1440.0243</v>
      </c>
      <c r="H13" s="275">
        <v>2300</v>
      </c>
      <c r="I13" s="275">
        <v>2500.0000300000006</v>
      </c>
      <c r="J13" s="276">
        <f t="shared" si="0"/>
        <v>725.56970762888159</v>
      </c>
      <c r="K13" s="276">
        <f t="shared" si="1"/>
        <v>715.73973198746955</v>
      </c>
      <c r="L13" s="276">
        <f t="shared" si="2"/>
        <v>875.57495405618283</v>
      </c>
      <c r="M13" s="276">
        <f t="shared" si="3"/>
        <v>836.1236995438054</v>
      </c>
      <c r="N13" s="276">
        <f t="shared" si="4"/>
        <v>1084.0454538610941</v>
      </c>
      <c r="O13" s="276">
        <f t="shared" si="5"/>
        <v>1731.4322708863428</v>
      </c>
      <c r="P13" s="276">
        <f t="shared" si="6"/>
        <v>1881.9916213734027</v>
      </c>
    </row>
    <row r="14" spans="1:16" ht="20.100000000000001" customHeight="1">
      <c r="A14" s="272">
        <v>8</v>
      </c>
      <c r="B14" s="273" t="s">
        <v>19</v>
      </c>
      <c r="C14" s="274">
        <v>846.95309999999995</v>
      </c>
      <c r="D14" s="274">
        <v>1097.4150999999999</v>
      </c>
      <c r="E14" s="274">
        <v>1428.4957400000003</v>
      </c>
      <c r="F14" s="274">
        <v>1356.11</v>
      </c>
      <c r="G14" s="274">
        <v>1630.1522999999997</v>
      </c>
      <c r="H14" s="275">
        <v>1735.1179999999999</v>
      </c>
      <c r="I14" s="275">
        <v>2000</v>
      </c>
      <c r="J14" s="276">
        <f t="shared" si="0"/>
        <v>800.85583796664014</v>
      </c>
      <c r="K14" s="276">
        <f t="shared" si="1"/>
        <v>954.9383049077619</v>
      </c>
      <c r="L14" s="276">
        <f t="shared" si="2"/>
        <v>1171.9740581517462</v>
      </c>
      <c r="M14" s="276">
        <f t="shared" si="3"/>
        <v>1020.8750508137732</v>
      </c>
      <c r="N14" s="276">
        <f t="shared" si="4"/>
        <v>1227.173173338954</v>
      </c>
      <c r="O14" s="276">
        <f t="shared" si="5"/>
        <v>1306.190999563378</v>
      </c>
      <c r="P14" s="276">
        <f t="shared" si="6"/>
        <v>1505.5932790316026</v>
      </c>
    </row>
    <row r="15" spans="1:16" ht="20.100000000000001" customHeight="1">
      <c r="A15" s="272">
        <v>9</v>
      </c>
      <c r="B15" s="273" t="s">
        <v>20</v>
      </c>
      <c r="C15" s="274">
        <v>607.04239999999993</v>
      </c>
      <c r="D15" s="274">
        <v>1140.2485999999999</v>
      </c>
      <c r="E15" s="274">
        <v>1019.2557</v>
      </c>
      <c r="F15" s="274">
        <v>841.65</v>
      </c>
      <c r="G15" s="274">
        <v>1225.7190000000001</v>
      </c>
      <c r="H15" s="275">
        <v>1877</v>
      </c>
      <c r="I15" s="275">
        <v>2060.0000000000005</v>
      </c>
      <c r="J15" s="276">
        <f t="shared" si="0"/>
        <v>574.00279889557089</v>
      </c>
      <c r="K15" s="276">
        <f t="shared" si="1"/>
        <v>992.21075530804023</v>
      </c>
      <c r="L15" s="276">
        <f t="shared" si="2"/>
        <v>836.22317209241282</v>
      </c>
      <c r="M15" s="276">
        <f t="shared" si="3"/>
        <v>633.59129164847411</v>
      </c>
      <c r="N15" s="276">
        <f t="shared" si="4"/>
        <v>922.71714419066848</v>
      </c>
      <c r="O15" s="276">
        <f t="shared" si="5"/>
        <v>1412.9992923711591</v>
      </c>
      <c r="P15" s="276">
        <f t="shared" si="6"/>
        <v>1550.7610774025509</v>
      </c>
    </row>
    <row r="16" spans="1:16" ht="20.100000000000001" customHeight="1">
      <c r="A16" s="272">
        <v>10</v>
      </c>
      <c r="B16" s="273" t="s">
        <v>21</v>
      </c>
      <c r="C16" s="274">
        <v>1067.1507000000001</v>
      </c>
      <c r="D16" s="274">
        <v>1431.1577</v>
      </c>
      <c r="E16" s="274">
        <v>1735.5678</v>
      </c>
      <c r="F16" s="274">
        <v>1441.04</v>
      </c>
      <c r="G16" s="274">
        <v>1796.1647999999998</v>
      </c>
      <c r="H16" s="275">
        <v>2187.7800000000002</v>
      </c>
      <c r="I16" s="275">
        <v>2500</v>
      </c>
      <c r="J16" s="276">
        <f t="shared" si="0"/>
        <v>1009.068705321684</v>
      </c>
      <c r="K16" s="276">
        <f t="shared" si="1"/>
        <v>1245.3512878524191</v>
      </c>
      <c r="L16" s="276">
        <f t="shared" si="2"/>
        <v>1423.9037477028091</v>
      </c>
      <c r="M16" s="276">
        <f t="shared" si="3"/>
        <v>1084.8100694078503</v>
      </c>
      <c r="N16" s="276">
        <f t="shared" si="4"/>
        <v>1352.1468254565712</v>
      </c>
      <c r="O16" s="276">
        <f t="shared" si="5"/>
        <v>1646.9534319998797</v>
      </c>
      <c r="P16" s="276">
        <f t="shared" si="6"/>
        <v>1881.9915987895031</v>
      </c>
    </row>
    <row r="17" spans="1:16" ht="20.100000000000001" customHeight="1">
      <c r="A17" s="272">
        <v>11</v>
      </c>
      <c r="B17" s="273" t="s">
        <v>22</v>
      </c>
      <c r="C17" s="274">
        <v>3944.8821999999996</v>
      </c>
      <c r="D17" s="274">
        <v>3653.5678000000003</v>
      </c>
      <c r="E17" s="274">
        <v>3514.0871000000002</v>
      </c>
      <c r="F17" s="274">
        <v>4475.1000000000004</v>
      </c>
      <c r="G17" s="274">
        <v>5165.8269</v>
      </c>
      <c r="H17" s="275">
        <v>8200</v>
      </c>
      <c r="I17" s="275">
        <v>8500</v>
      </c>
      <c r="J17" s="276">
        <f t="shared" si="0"/>
        <v>3730.1734180566582</v>
      </c>
      <c r="K17" s="276">
        <f t="shared" si="1"/>
        <v>3179.227114514445</v>
      </c>
      <c r="L17" s="276">
        <f t="shared" si="2"/>
        <v>2883.0459930427937</v>
      </c>
      <c r="M17" s="276">
        <f t="shared" si="3"/>
        <v>3368.8402414971624</v>
      </c>
      <c r="N17" s="276">
        <f t="shared" si="4"/>
        <v>3888.8171306403292</v>
      </c>
      <c r="O17" s="276">
        <f t="shared" si="5"/>
        <v>6172.9324440295704</v>
      </c>
      <c r="P17" s="276">
        <f t="shared" si="6"/>
        <v>6398.7714358843104</v>
      </c>
    </row>
    <row r="18" spans="1:16" ht="22.5" customHeight="1">
      <c r="A18" s="270"/>
      <c r="B18" s="273" t="s">
        <v>202</v>
      </c>
      <c r="C18" s="277">
        <f t="shared" ref="C18:P18" si="7">SUM(C7:C17)</f>
        <v>19808.249899999999</v>
      </c>
      <c r="D18" s="277">
        <f t="shared" si="7"/>
        <v>23499.0664</v>
      </c>
      <c r="E18" s="277">
        <f t="shared" si="7"/>
        <v>27092.814839999999</v>
      </c>
      <c r="F18" s="277">
        <f t="shared" si="7"/>
        <v>31325.050000000003</v>
      </c>
      <c r="G18" s="277">
        <f t="shared" si="7"/>
        <v>35128.972399999999</v>
      </c>
      <c r="H18" s="277">
        <f t="shared" si="7"/>
        <v>47051.583299999998</v>
      </c>
      <c r="I18" s="277">
        <f t="shared" si="7"/>
        <v>52961.000030000003</v>
      </c>
      <c r="J18" s="278">
        <f t="shared" si="7"/>
        <v>18730.142876054313</v>
      </c>
      <c r="K18" s="278">
        <f t="shared" si="7"/>
        <v>20448.19561434041</v>
      </c>
      <c r="L18" s="278">
        <f t="shared" si="7"/>
        <v>22227.63097269625</v>
      </c>
      <c r="M18" s="278">
        <f t="shared" si="7"/>
        <v>23581.39237266445</v>
      </c>
      <c r="N18" s="278">
        <f t="shared" si="7"/>
        <v>26444.972372363329</v>
      </c>
      <c r="O18" s="278">
        <f t="shared" si="7"/>
        <v>35420.273792137799</v>
      </c>
      <c r="P18" s="278">
        <f t="shared" si="7"/>
        <v>39868.86284798025</v>
      </c>
    </row>
    <row r="19" spans="1:16" ht="22.5" customHeight="1">
      <c r="A19" s="270"/>
      <c r="B19" s="502" t="s">
        <v>189</v>
      </c>
      <c r="C19" s="503"/>
      <c r="D19" s="279"/>
      <c r="E19" s="279"/>
      <c r="F19" s="279"/>
      <c r="G19" s="279"/>
      <c r="H19" s="280"/>
      <c r="I19" s="280"/>
      <c r="J19" s="281"/>
      <c r="K19" s="281"/>
      <c r="L19" s="281"/>
      <c r="M19" s="281"/>
      <c r="N19" s="281"/>
      <c r="O19" s="281"/>
      <c r="P19" s="281"/>
    </row>
    <row r="20" spans="1:16" ht="20.100000000000001" customHeight="1">
      <c r="A20" s="272">
        <v>12</v>
      </c>
      <c r="B20" s="273" t="s">
        <v>203</v>
      </c>
      <c r="C20" s="274">
        <v>27170.795999999998</v>
      </c>
      <c r="D20" s="274">
        <v>30617.676299999999</v>
      </c>
      <c r="E20" s="274">
        <v>29390.9689</v>
      </c>
      <c r="F20" s="274">
        <v>32248.71</v>
      </c>
      <c r="G20" s="274">
        <v>39265.050029999999</v>
      </c>
      <c r="H20" s="275">
        <v>44959.040000000001</v>
      </c>
      <c r="I20" s="275">
        <v>53000</v>
      </c>
      <c r="J20" s="276">
        <f t="shared" ref="J20:J36" si="8">+C20/$C$52</f>
        <v>25691.966413253147</v>
      </c>
      <c r="K20" s="276">
        <f t="shared" ref="K20:K36" si="9">+D20/$D$52</f>
        <v>26642.600330664809</v>
      </c>
      <c r="L20" s="276">
        <f t="shared" ref="L20:L36" si="10">+E20/$E$52</f>
        <v>24113.094726306117</v>
      </c>
      <c r="M20" s="276">
        <f t="shared" ref="M20:M36" si="11">+F20/$F$52</f>
        <v>24276.720516719615</v>
      </c>
      <c r="N20" s="276">
        <f t="shared" ref="N20:N36" si="12">+G20/$F$52</f>
        <v>29558.597713003812</v>
      </c>
      <c r="O20" s="276">
        <f t="shared" ref="O20:O36" si="13">+H20/$F$52</f>
        <v>33845.014227856489</v>
      </c>
      <c r="P20" s="276">
        <f t="shared" ref="P20:P36" si="14">+I20/$F$52</f>
        <v>39898.221894337468</v>
      </c>
    </row>
    <row r="21" spans="1:16" ht="20.100000000000001" customHeight="1">
      <c r="A21" s="272">
        <v>13</v>
      </c>
      <c r="B21" s="273" t="s">
        <v>26</v>
      </c>
      <c r="C21" s="274">
        <v>9652.3041000000012</v>
      </c>
      <c r="D21" s="274">
        <v>12510.776899999999</v>
      </c>
      <c r="E21" s="274">
        <v>14183.51</v>
      </c>
      <c r="F21" s="274">
        <v>18717.580000000002</v>
      </c>
      <c r="G21" s="274">
        <v>21018.558300000001</v>
      </c>
      <c r="H21" s="275">
        <v>25203.538700000001</v>
      </c>
      <c r="I21" s="275">
        <v>34000.000000000007</v>
      </c>
      <c r="J21" s="276">
        <f t="shared" si="8"/>
        <v>9126.9564847384554</v>
      </c>
      <c r="K21" s="276">
        <f t="shared" si="9"/>
        <v>10886.509658893143</v>
      </c>
      <c r="L21" s="276">
        <f t="shared" si="10"/>
        <v>11636.510567077974</v>
      </c>
      <c r="M21" s="276">
        <f t="shared" si="11"/>
        <v>14090.531323868172</v>
      </c>
      <c r="N21" s="276">
        <f t="shared" si="12"/>
        <v>15822.700055706953</v>
      </c>
      <c r="O21" s="276">
        <f t="shared" si="13"/>
        <v>18973.139237266449</v>
      </c>
      <c r="P21" s="276">
        <f t="shared" si="14"/>
        <v>25595.085743537249</v>
      </c>
    </row>
    <row r="22" spans="1:16" ht="15" customHeight="1">
      <c r="A22" s="272">
        <v>14</v>
      </c>
      <c r="B22" s="273" t="s">
        <v>204</v>
      </c>
      <c r="C22" s="274">
        <v>6196.1103000000003</v>
      </c>
      <c r="D22" s="274">
        <v>8137.3701000000001</v>
      </c>
      <c r="E22" s="274">
        <v>10281.4349</v>
      </c>
      <c r="F22" s="274">
        <v>10081</v>
      </c>
      <c r="G22" s="274">
        <v>12484.1302</v>
      </c>
      <c r="H22" s="275">
        <v>23480</v>
      </c>
      <c r="I22" s="275">
        <v>25250</v>
      </c>
      <c r="J22" s="276">
        <f t="shared" si="8"/>
        <v>5858.873539089981</v>
      </c>
      <c r="K22" s="276">
        <f t="shared" si="9"/>
        <v>7080.8998433693005</v>
      </c>
      <c r="L22" s="276">
        <f t="shared" si="10"/>
        <v>8435.1493994486755</v>
      </c>
      <c r="M22" s="276">
        <f t="shared" si="11"/>
        <v>7588.9429229587922</v>
      </c>
      <c r="N22" s="276">
        <f t="shared" si="12"/>
        <v>9398.0112618377279</v>
      </c>
      <c r="O22" s="276">
        <f t="shared" si="13"/>
        <v>17675.665095831013</v>
      </c>
      <c r="P22" s="276">
        <f t="shared" si="14"/>
        <v>19008.11514777398</v>
      </c>
    </row>
    <row r="23" spans="1:16" ht="15.75" customHeight="1">
      <c r="A23" s="272">
        <v>15</v>
      </c>
      <c r="B23" s="273" t="s">
        <v>28</v>
      </c>
      <c r="C23" s="274">
        <v>1224.4957999999999</v>
      </c>
      <c r="D23" s="274">
        <v>1574.4989</v>
      </c>
      <c r="E23" s="274">
        <v>1965.5699</v>
      </c>
      <c r="F23" s="274">
        <v>2107.4</v>
      </c>
      <c r="G23" s="274">
        <v>2008.6833999999997</v>
      </c>
      <c r="H23" s="275">
        <v>4700</v>
      </c>
      <c r="I23" s="275">
        <v>4715.0209999999997</v>
      </c>
      <c r="J23" s="276">
        <f t="shared" si="8"/>
        <v>1157.8499565036498</v>
      </c>
      <c r="K23" s="276">
        <f t="shared" si="9"/>
        <v>1370.0825791855204</v>
      </c>
      <c r="L23" s="276">
        <f t="shared" si="10"/>
        <v>1612.6032915463377</v>
      </c>
      <c r="M23" s="276">
        <f t="shared" si="11"/>
        <v>1586.4436381155997</v>
      </c>
      <c r="N23" s="276">
        <f t="shared" si="12"/>
        <v>1512.1301133711738</v>
      </c>
      <c r="O23" s="276">
        <f t="shared" si="13"/>
        <v>3538.1442057242657</v>
      </c>
      <c r="P23" s="276">
        <f t="shared" si="14"/>
        <v>3549.4519640464327</v>
      </c>
    </row>
    <row r="24" spans="1:16" ht="14.25" customHeight="1">
      <c r="A24" s="272">
        <v>16</v>
      </c>
      <c r="B24" s="273" t="s">
        <v>29</v>
      </c>
      <c r="C24" s="274">
        <v>15651.473</v>
      </c>
      <c r="D24" s="274">
        <v>21763.68</v>
      </c>
      <c r="E24" s="274">
        <v>22633.825000000001</v>
      </c>
      <c r="F24" s="274">
        <v>30097.05</v>
      </c>
      <c r="G24" s="274">
        <v>34659.799800000001</v>
      </c>
      <c r="H24" s="275">
        <v>51000</v>
      </c>
      <c r="I24" s="275">
        <v>59000</v>
      </c>
      <c r="J24" s="276">
        <f t="shared" si="8"/>
        <v>14799.60758727637</v>
      </c>
      <c r="K24" s="276">
        <f t="shared" si="9"/>
        <v>18938.113470240169</v>
      </c>
      <c r="L24" s="276">
        <f t="shared" si="10"/>
        <v>18569.362857705437</v>
      </c>
      <c r="M24" s="276">
        <f t="shared" si="11"/>
        <v>22656.958099339045</v>
      </c>
      <c r="N24" s="276">
        <f t="shared" si="12"/>
        <v>26091.780815730443</v>
      </c>
      <c r="O24" s="276">
        <f t="shared" si="13"/>
        <v>38392.628615305861</v>
      </c>
      <c r="P24" s="276">
        <f t="shared" si="14"/>
        <v>44415.001731432276</v>
      </c>
    </row>
    <row r="25" spans="1:16" ht="20.100000000000001" customHeight="1">
      <c r="A25" s="272">
        <v>17</v>
      </c>
      <c r="B25" s="273" t="s">
        <v>30</v>
      </c>
      <c r="C25" s="274">
        <v>5751.1848</v>
      </c>
      <c r="D25" s="274">
        <v>7108.2808999999997</v>
      </c>
      <c r="E25" s="274">
        <v>9624.4393</v>
      </c>
      <c r="F25" s="274">
        <v>15497.17</v>
      </c>
      <c r="G25" s="274">
        <v>16051.722600000003</v>
      </c>
      <c r="H25" s="275">
        <v>22935.73</v>
      </c>
      <c r="I25" s="275">
        <v>27072</v>
      </c>
      <c r="J25" s="276">
        <f t="shared" si="8"/>
        <v>5438.1640757971172</v>
      </c>
      <c r="K25" s="276">
        <f t="shared" si="9"/>
        <v>6185.4167246780371</v>
      </c>
      <c r="L25" s="276">
        <f t="shared" si="10"/>
        <v>7896.1335816487272</v>
      </c>
      <c r="M25" s="276">
        <f t="shared" si="11"/>
        <v>11666.21749800509</v>
      </c>
      <c r="N25" s="276">
        <f t="shared" si="12"/>
        <v>12083.682831719841</v>
      </c>
      <c r="O25" s="276">
        <f t="shared" si="13"/>
        <v>17265.940468841749</v>
      </c>
      <c r="P25" s="276">
        <f t="shared" si="14"/>
        <v>20379.710624971773</v>
      </c>
    </row>
    <row r="26" spans="1:16" ht="20.100000000000001" customHeight="1">
      <c r="A26" s="272">
        <v>18</v>
      </c>
      <c r="B26" s="273" t="s">
        <v>31</v>
      </c>
      <c r="C26" s="274">
        <v>5706.35</v>
      </c>
      <c r="D26" s="274">
        <v>6866.1660999999995</v>
      </c>
      <c r="E26" s="274">
        <v>6528.88</v>
      </c>
      <c r="F26" s="274">
        <v>8267.59</v>
      </c>
      <c r="G26" s="274">
        <v>10277.056500000001</v>
      </c>
      <c r="H26" s="275">
        <v>16300</v>
      </c>
      <c r="I26" s="275">
        <v>16800</v>
      </c>
      <c r="J26" s="276">
        <f t="shared" si="8"/>
        <v>5395.7695071674425</v>
      </c>
      <c r="K26" s="276">
        <f t="shared" si="9"/>
        <v>5974.7355551688124</v>
      </c>
      <c r="L26" s="276">
        <f t="shared" si="10"/>
        <v>5356.4583880283544</v>
      </c>
      <c r="M26" s="276">
        <f t="shared" si="11"/>
        <v>6223.8139688944439</v>
      </c>
      <c r="N26" s="276">
        <f t="shared" si="12"/>
        <v>7736.5335973140227</v>
      </c>
      <c r="O26" s="276">
        <f t="shared" si="13"/>
        <v>12270.585224107561</v>
      </c>
      <c r="P26" s="276">
        <f t="shared" si="14"/>
        <v>12646.983543865461</v>
      </c>
    </row>
    <row r="27" spans="1:16" ht="20.100000000000001" customHeight="1">
      <c r="A27" s="272">
        <v>19</v>
      </c>
      <c r="B27" s="273" t="s">
        <v>32</v>
      </c>
      <c r="C27" s="274">
        <v>17226.915199999999</v>
      </c>
      <c r="D27" s="274">
        <v>22118.210099999997</v>
      </c>
      <c r="E27" s="274">
        <v>25966.995099999996</v>
      </c>
      <c r="F27" s="274">
        <v>31050</v>
      </c>
      <c r="G27" s="274">
        <v>38449.9977</v>
      </c>
      <c r="H27" s="275">
        <v>42100</v>
      </c>
      <c r="I27" s="275">
        <v>47000</v>
      </c>
      <c r="J27" s="276">
        <f t="shared" si="8"/>
        <v>16289.302923711182</v>
      </c>
      <c r="K27" s="276">
        <f t="shared" si="9"/>
        <v>19246.615123564217</v>
      </c>
      <c r="L27" s="276">
        <f t="shared" si="10"/>
        <v>21303.979965213966</v>
      </c>
      <c r="M27" s="276">
        <f t="shared" si="11"/>
        <v>23374.335656965628</v>
      </c>
      <c r="N27" s="276">
        <f t="shared" si="12"/>
        <v>28945.029057950287</v>
      </c>
      <c r="O27" s="276">
        <f t="shared" si="13"/>
        <v>31692.738523615233</v>
      </c>
      <c r="P27" s="276">
        <f t="shared" si="14"/>
        <v>35381.442057242661</v>
      </c>
    </row>
    <row r="28" spans="1:16" ht="20.100000000000001" customHeight="1">
      <c r="A28" s="272">
        <v>20</v>
      </c>
      <c r="B28" s="273" t="s">
        <v>33</v>
      </c>
      <c r="C28" s="274">
        <v>5085.4515999999994</v>
      </c>
      <c r="D28" s="274">
        <v>6236.8112000000001</v>
      </c>
      <c r="E28" s="274">
        <v>7774.0793000000003</v>
      </c>
      <c r="F28" s="274">
        <v>8700.98</v>
      </c>
      <c r="G28" s="274">
        <v>10954.888300000001</v>
      </c>
      <c r="H28" s="275">
        <v>14010</v>
      </c>
      <c r="I28" s="275">
        <v>17000</v>
      </c>
      <c r="J28" s="276">
        <f t="shared" si="8"/>
        <v>4808.6648511668363</v>
      </c>
      <c r="K28" s="276">
        <f t="shared" si="9"/>
        <v>5427.0894535328925</v>
      </c>
      <c r="L28" s="276">
        <f t="shared" si="10"/>
        <v>6378.05140784983</v>
      </c>
      <c r="M28" s="276">
        <f t="shared" si="11"/>
        <v>6550.0685044941965</v>
      </c>
      <c r="N28" s="276">
        <f t="shared" si="12"/>
        <v>8246.803098510969</v>
      </c>
      <c r="O28" s="276">
        <f t="shared" si="13"/>
        <v>10546.680919616376</v>
      </c>
      <c r="P28" s="276">
        <f t="shared" si="14"/>
        <v>12797.542871768621</v>
      </c>
    </row>
    <row r="29" spans="1:16" ht="20.100000000000001" customHeight="1">
      <c r="A29" s="272">
        <v>21</v>
      </c>
      <c r="B29" s="273" t="s">
        <v>34</v>
      </c>
      <c r="C29" s="274">
        <v>12047.436000000002</v>
      </c>
      <c r="D29" s="274">
        <v>13081.021299999999</v>
      </c>
      <c r="E29" s="274">
        <v>14609.9995</v>
      </c>
      <c r="F29" s="274">
        <v>20156.84</v>
      </c>
      <c r="G29" s="274">
        <v>22663.837800000001</v>
      </c>
      <c r="H29" s="275">
        <v>28000</v>
      </c>
      <c r="I29" s="275">
        <v>35500</v>
      </c>
      <c r="J29" s="276">
        <f t="shared" si="8"/>
        <v>11391.72812890049</v>
      </c>
      <c r="K29" s="276">
        <f t="shared" si="9"/>
        <v>11382.71954403063</v>
      </c>
      <c r="L29" s="276">
        <f t="shared" si="10"/>
        <v>11986.413346678919</v>
      </c>
      <c r="M29" s="276">
        <f t="shared" si="11"/>
        <v>15174.001415257684</v>
      </c>
      <c r="N29" s="276">
        <f t="shared" si="12"/>
        <v>17061.260934371192</v>
      </c>
      <c r="O29" s="276">
        <f t="shared" si="13"/>
        <v>21078.305906442434</v>
      </c>
      <c r="P29" s="276">
        <f t="shared" si="14"/>
        <v>26724.280702810946</v>
      </c>
    </row>
    <row r="30" spans="1:16" ht="20.100000000000001" customHeight="1">
      <c r="A30" s="272">
        <v>22</v>
      </c>
      <c r="B30" s="273" t="s">
        <v>35</v>
      </c>
      <c r="C30" s="274">
        <v>19422.21</v>
      </c>
      <c r="D30" s="274">
        <v>22870.28</v>
      </c>
      <c r="E30" s="274">
        <v>27730.59</v>
      </c>
      <c r="F30" s="274">
        <v>32576.78</v>
      </c>
      <c r="G30" s="274">
        <v>37707.94</v>
      </c>
      <c r="H30" s="275">
        <v>45000</v>
      </c>
      <c r="I30" s="275">
        <v>80500.000000000015</v>
      </c>
      <c r="J30" s="276">
        <f t="shared" si="8"/>
        <v>18365.114036083058</v>
      </c>
      <c r="K30" s="276">
        <f t="shared" si="9"/>
        <v>19901.044204664115</v>
      </c>
      <c r="L30" s="276">
        <f t="shared" si="10"/>
        <v>22750.877855080074</v>
      </c>
      <c r="M30" s="276">
        <f t="shared" si="11"/>
        <v>24523.690510245564</v>
      </c>
      <c r="N30" s="276">
        <f t="shared" si="12"/>
        <v>28386.410515063464</v>
      </c>
      <c r="O30" s="276">
        <f t="shared" si="13"/>
        <v>33875.848778211053</v>
      </c>
      <c r="P30" s="276">
        <f t="shared" si="14"/>
        <v>60600.129481022013</v>
      </c>
    </row>
    <row r="31" spans="1:16" ht="17.25" customHeight="1">
      <c r="A31" s="272">
        <v>23</v>
      </c>
      <c r="B31" s="273" t="s">
        <v>74</v>
      </c>
      <c r="C31" s="274">
        <v>6032.8143000000009</v>
      </c>
      <c r="D31" s="274">
        <v>7572.201</v>
      </c>
      <c r="E31" s="274">
        <v>7727.740600000001</v>
      </c>
      <c r="F31" s="274">
        <v>10105.67</v>
      </c>
      <c r="G31" s="274">
        <v>12753.1142</v>
      </c>
      <c r="H31" s="275">
        <v>15200</v>
      </c>
      <c r="I31" s="275">
        <v>21500</v>
      </c>
      <c r="J31" s="276">
        <f t="shared" si="8"/>
        <v>5704.4652785657554</v>
      </c>
      <c r="K31" s="276">
        <f t="shared" si="9"/>
        <v>6589.1063348416292</v>
      </c>
      <c r="L31" s="276">
        <f t="shared" si="10"/>
        <v>6340.0339656077722</v>
      </c>
      <c r="M31" s="276">
        <f t="shared" si="11"/>
        <v>7607.5144160556474</v>
      </c>
      <c r="N31" s="276">
        <f t="shared" si="12"/>
        <v>9600.5015131212458</v>
      </c>
      <c r="O31" s="276">
        <f t="shared" si="13"/>
        <v>11442.508920640179</v>
      </c>
      <c r="P31" s="276">
        <f t="shared" si="14"/>
        <v>16185.127749589727</v>
      </c>
    </row>
    <row r="32" spans="1:16" ht="20.100000000000001" customHeight="1">
      <c r="A32" s="272">
        <v>24</v>
      </c>
      <c r="B32" s="273" t="s">
        <v>36</v>
      </c>
      <c r="C32" s="274">
        <v>5024.0942999999997</v>
      </c>
      <c r="D32" s="274">
        <v>6925.0986999999996</v>
      </c>
      <c r="E32" s="274">
        <v>4973.7771999999995</v>
      </c>
      <c r="F32" s="274">
        <v>8324.3700000000008</v>
      </c>
      <c r="G32" s="274">
        <v>7457.4495999999999</v>
      </c>
      <c r="H32" s="275">
        <v>14000</v>
      </c>
      <c r="I32" s="275">
        <v>16125</v>
      </c>
      <c r="J32" s="276">
        <f t="shared" si="8"/>
        <v>4750.6470554862135</v>
      </c>
      <c r="K32" s="276">
        <f t="shared" si="9"/>
        <v>6026.0169683257918</v>
      </c>
      <c r="L32" s="276">
        <f t="shared" si="10"/>
        <v>4080.6126936203727</v>
      </c>
      <c r="M32" s="276">
        <f t="shared" si="11"/>
        <v>6266.5577620861513</v>
      </c>
      <c r="N32" s="276">
        <f t="shared" si="12"/>
        <v>5613.9429982384563</v>
      </c>
      <c r="O32" s="276">
        <f t="shared" si="13"/>
        <v>10539.152953221217</v>
      </c>
      <c r="P32" s="276">
        <f t="shared" si="14"/>
        <v>12138.845812192296</v>
      </c>
    </row>
    <row r="33" spans="1:16" ht="20.100000000000001" customHeight="1">
      <c r="A33" s="272">
        <v>25</v>
      </c>
      <c r="B33" s="273" t="s">
        <v>37</v>
      </c>
      <c r="C33" s="274">
        <v>13794.686299999999</v>
      </c>
      <c r="D33" s="274">
        <v>14923.348</v>
      </c>
      <c r="E33" s="274">
        <v>18022.685400000002</v>
      </c>
      <c r="F33" s="274">
        <v>21540.28</v>
      </c>
      <c r="G33" s="274">
        <v>25039.266600000003</v>
      </c>
      <c r="H33" s="275">
        <v>36363.779699999999</v>
      </c>
      <c r="I33" s="275">
        <v>40500</v>
      </c>
      <c r="J33" s="276">
        <f t="shared" si="8"/>
        <v>13043.880536328907</v>
      </c>
      <c r="K33" s="276">
        <f t="shared" si="9"/>
        <v>12985.857988165681</v>
      </c>
      <c r="L33" s="276">
        <f t="shared" si="10"/>
        <v>14786.26722893148</v>
      </c>
      <c r="M33" s="276">
        <f t="shared" si="11"/>
        <v>16215.450398229423</v>
      </c>
      <c r="N33" s="276">
        <f t="shared" si="12"/>
        <v>18849.475752420243</v>
      </c>
      <c r="O33" s="276">
        <f t="shared" si="13"/>
        <v>27374.53115825291</v>
      </c>
      <c r="P33" s="276">
        <f t="shared" si="14"/>
        <v>30488.263900389949</v>
      </c>
    </row>
    <row r="34" spans="1:16" ht="15" customHeight="1">
      <c r="A34" s="272">
        <v>26</v>
      </c>
      <c r="B34" s="273" t="s">
        <v>38</v>
      </c>
      <c r="C34" s="274">
        <v>14224.3156</v>
      </c>
      <c r="D34" s="274">
        <v>16246.053300000001</v>
      </c>
      <c r="E34" s="274">
        <v>17833.5</v>
      </c>
      <c r="F34" s="274">
        <v>20464.77</v>
      </c>
      <c r="G34" s="274">
        <v>23857.68</v>
      </c>
      <c r="H34" s="275">
        <v>28000</v>
      </c>
      <c r="I34" s="275">
        <v>37127.999999999993</v>
      </c>
      <c r="J34" s="276">
        <f t="shared" si="8"/>
        <v>13450.126328529823</v>
      </c>
      <c r="K34" s="276">
        <f t="shared" si="9"/>
        <v>14136.837191089455</v>
      </c>
      <c r="L34" s="276">
        <f t="shared" si="10"/>
        <v>14631.054738776582</v>
      </c>
      <c r="M34" s="276">
        <f t="shared" si="11"/>
        <v>15405.810084463785</v>
      </c>
      <c r="N34" s="276">
        <f t="shared" si="12"/>
        <v>17959.981330643343</v>
      </c>
      <c r="O34" s="276">
        <f t="shared" si="13"/>
        <v>21078.305906442434</v>
      </c>
      <c r="P34" s="276">
        <f t="shared" si="14"/>
        <v>27949.833631942663</v>
      </c>
    </row>
    <row r="35" spans="1:16" ht="20.100000000000001" customHeight="1">
      <c r="A35" s="272">
        <v>27</v>
      </c>
      <c r="B35" s="273" t="s">
        <v>39</v>
      </c>
      <c r="C35" s="274">
        <v>24296.526699999999</v>
      </c>
      <c r="D35" s="274">
        <v>34287.620600000002</v>
      </c>
      <c r="E35" s="274">
        <v>37211.511099999996</v>
      </c>
      <c r="F35" s="274">
        <v>41300.699999999997</v>
      </c>
      <c r="G35" s="274">
        <v>45706.571600000003</v>
      </c>
      <c r="H35" s="275">
        <v>48302.81</v>
      </c>
      <c r="I35" s="275">
        <v>69200</v>
      </c>
      <c r="J35" s="276">
        <f t="shared" si="8"/>
        <v>22974.135462763341</v>
      </c>
      <c r="K35" s="276">
        <f t="shared" si="9"/>
        <v>29836.077793247478</v>
      </c>
      <c r="L35" s="276">
        <f t="shared" si="10"/>
        <v>30529.265473221316</v>
      </c>
      <c r="M35" s="276">
        <f t="shared" si="11"/>
        <v>31091.02816965025</v>
      </c>
      <c r="N35" s="276">
        <f t="shared" si="12"/>
        <v>34407.753504268359</v>
      </c>
      <c r="O35" s="276">
        <f t="shared" si="13"/>
        <v>36362.193047170236</v>
      </c>
      <c r="P35" s="276">
        <f t="shared" si="14"/>
        <v>52093.527454493444</v>
      </c>
    </row>
    <row r="36" spans="1:16" ht="16.5" customHeight="1">
      <c r="A36" s="272">
        <v>28</v>
      </c>
      <c r="B36" s="273" t="s">
        <v>40</v>
      </c>
      <c r="C36" s="274">
        <v>8857.8644999999997</v>
      </c>
      <c r="D36" s="274">
        <v>10396.9</v>
      </c>
      <c r="E36" s="274">
        <v>12121.5445</v>
      </c>
      <c r="F36" s="274">
        <v>11874.48</v>
      </c>
      <c r="G36" s="274">
        <v>14074.52663</v>
      </c>
      <c r="H36" s="275">
        <v>25910</v>
      </c>
      <c r="I36" s="275">
        <v>30314</v>
      </c>
      <c r="J36" s="276">
        <f t="shared" si="8"/>
        <v>8375.7559854760002</v>
      </c>
      <c r="K36" s="276">
        <f t="shared" si="9"/>
        <v>9047.0762269404804</v>
      </c>
      <c r="L36" s="276">
        <f t="shared" si="10"/>
        <v>9944.8218856655294</v>
      </c>
      <c r="M36" s="276">
        <f t="shared" si="11"/>
        <v>8939.0686399975912</v>
      </c>
      <c r="N36" s="276">
        <f t="shared" si="12"/>
        <v>10595.256349839656</v>
      </c>
      <c r="O36" s="276">
        <f t="shared" si="13"/>
        <v>19504.960929854409</v>
      </c>
      <c r="P36" s="276">
        <f t="shared" si="14"/>
        <v>22820.277330281999</v>
      </c>
    </row>
    <row r="37" spans="1:16" s="269" customFormat="1" ht="16.5" customHeight="1">
      <c r="A37" s="282"/>
      <c r="B37" s="283" t="s">
        <v>190</v>
      </c>
      <c r="C37" s="284">
        <f t="shared" ref="C37:P37" si="15">SUM(C20:C36)</f>
        <v>197365.02849999999</v>
      </c>
      <c r="D37" s="284">
        <f t="shared" si="15"/>
        <v>243235.99339999998</v>
      </c>
      <c r="E37" s="284">
        <f t="shared" si="15"/>
        <v>268581.05070000002</v>
      </c>
      <c r="F37" s="284">
        <f t="shared" si="15"/>
        <v>323111.37</v>
      </c>
      <c r="G37" s="284">
        <f t="shared" si="15"/>
        <v>374430.27325999999</v>
      </c>
      <c r="H37" s="284">
        <f t="shared" si="15"/>
        <v>485464.89840000006</v>
      </c>
      <c r="I37" s="284">
        <f t="shared" si="15"/>
        <v>614604.02099999995</v>
      </c>
      <c r="J37" s="285">
        <f t="shared" si="15"/>
        <v>186623.00815083773</v>
      </c>
      <c r="K37" s="285">
        <f t="shared" si="15"/>
        <v>211656.7989906022</v>
      </c>
      <c r="L37" s="285">
        <f t="shared" si="15"/>
        <v>220350.69137240748</v>
      </c>
      <c r="M37" s="285">
        <f t="shared" si="15"/>
        <v>243237.15352534669</v>
      </c>
      <c r="N37" s="285">
        <f t="shared" si="15"/>
        <v>281869.8514431112</v>
      </c>
      <c r="O37" s="285">
        <f t="shared" si="15"/>
        <v>365456.34411839989</v>
      </c>
      <c r="P37" s="285">
        <f t="shared" si="15"/>
        <v>462671.84164169896</v>
      </c>
    </row>
    <row r="38" spans="1:16" s="269" customFormat="1" ht="20.25" customHeight="1">
      <c r="A38" s="286"/>
      <c r="B38" s="283" t="s">
        <v>205</v>
      </c>
      <c r="C38" s="284">
        <f t="shared" ref="C38:P38" si="16">+C18+C37</f>
        <v>217173.27839999998</v>
      </c>
      <c r="D38" s="284">
        <f t="shared" si="16"/>
        <v>266735.05979999999</v>
      </c>
      <c r="E38" s="284">
        <f t="shared" si="16"/>
        <v>295673.86554000003</v>
      </c>
      <c r="F38" s="284">
        <f t="shared" si="16"/>
        <v>354436.42</v>
      </c>
      <c r="G38" s="284">
        <f t="shared" si="16"/>
        <v>409559.24566000002</v>
      </c>
      <c r="H38" s="284">
        <f t="shared" si="16"/>
        <v>532516.48170000012</v>
      </c>
      <c r="I38" s="284">
        <f t="shared" si="16"/>
        <v>667565.02102999995</v>
      </c>
      <c r="J38" s="285">
        <f t="shared" si="16"/>
        <v>205353.15102689204</v>
      </c>
      <c r="K38" s="285">
        <f t="shared" si="16"/>
        <v>232104.99460494262</v>
      </c>
      <c r="L38" s="285">
        <f t="shared" si="16"/>
        <v>242578.32234510372</v>
      </c>
      <c r="M38" s="285">
        <f t="shared" si="16"/>
        <v>266818.54589801113</v>
      </c>
      <c r="N38" s="285">
        <f t="shared" si="16"/>
        <v>308314.82381547452</v>
      </c>
      <c r="O38" s="285">
        <f t="shared" si="16"/>
        <v>400876.61791053769</v>
      </c>
      <c r="P38" s="285">
        <f t="shared" si="16"/>
        <v>502540.70448967919</v>
      </c>
    </row>
    <row r="39" spans="1:16" ht="15.75" customHeight="1">
      <c r="A39" s="287"/>
      <c r="B39" s="502" t="s">
        <v>206</v>
      </c>
      <c r="C39" s="503"/>
      <c r="D39" s="288"/>
      <c r="E39" s="288"/>
      <c r="F39" s="288"/>
      <c r="G39" s="288"/>
      <c r="H39" s="289"/>
      <c r="I39" s="289"/>
      <c r="J39" s="290"/>
      <c r="K39" s="290"/>
      <c r="L39" s="290"/>
      <c r="M39" s="290"/>
      <c r="N39" s="290"/>
      <c r="O39" s="290"/>
      <c r="P39" s="290"/>
    </row>
    <row r="40" spans="1:16" ht="19.5" customHeight="1">
      <c r="A40" s="272">
        <v>29</v>
      </c>
      <c r="B40" s="273" t="s">
        <v>207</v>
      </c>
      <c r="C40" s="274">
        <v>607.27639999999997</v>
      </c>
      <c r="D40" s="274">
        <v>694.45910000000003</v>
      </c>
      <c r="E40" s="274">
        <v>882.26419999999996</v>
      </c>
      <c r="F40" s="274">
        <v>849.83</v>
      </c>
      <c r="G40" s="274">
        <v>1287.3926999999999</v>
      </c>
      <c r="H40" s="275">
        <v>1701.43</v>
      </c>
      <c r="I40" s="275">
        <v>1867.1</v>
      </c>
      <c r="J40" s="276">
        <f t="shared" ref="J40:J46" si="17">+C40/$C$52</f>
        <v>574.2240629373274</v>
      </c>
      <c r="K40" s="276">
        <f t="shared" ref="K40:K46" si="18">+D40/$D$52</f>
        <v>604.29785938043858</v>
      </c>
      <c r="L40" s="276">
        <f t="shared" ref="L40:L46" si="19">+E40/$E$52</f>
        <v>723.83187844578629</v>
      </c>
      <c r="M40" s="276">
        <f t="shared" ref="M40:P46" si="20">+F40/$F$52</f>
        <v>639.74916815971346</v>
      </c>
      <c r="N40" s="276">
        <f t="shared" si="20"/>
        <v>969.144898297174</v>
      </c>
      <c r="O40" s="276">
        <f t="shared" si="20"/>
        <v>1280.8307863713699</v>
      </c>
      <c r="P40" s="276">
        <f t="shared" si="20"/>
        <v>1405.5466056399525</v>
      </c>
    </row>
    <row r="41" spans="1:16" ht="19.5" customHeight="1">
      <c r="A41" s="272">
        <v>30</v>
      </c>
      <c r="B41" s="273" t="s">
        <v>208</v>
      </c>
      <c r="C41" s="274">
        <v>317.20639999999997</v>
      </c>
      <c r="D41" s="274">
        <v>488.53879999999998</v>
      </c>
      <c r="E41" s="274">
        <v>449.1336</v>
      </c>
      <c r="F41" s="274">
        <v>461.31</v>
      </c>
      <c r="G41" s="274">
        <v>635.95629999999994</v>
      </c>
      <c r="H41" s="275">
        <v>620</v>
      </c>
      <c r="I41" s="275">
        <v>876.05</v>
      </c>
      <c r="J41" s="276">
        <f t="shared" si="17"/>
        <v>299.94175271379396</v>
      </c>
      <c r="K41" s="276">
        <f t="shared" si="18"/>
        <v>425.11207796728155</v>
      </c>
      <c r="L41" s="276">
        <f t="shared" si="19"/>
        <v>368.48057232869519</v>
      </c>
      <c r="M41" s="276">
        <f t="shared" si="20"/>
        <v>347.27261777503429</v>
      </c>
      <c r="N41" s="276">
        <f t="shared" si="20"/>
        <v>478.74576551890272</v>
      </c>
      <c r="O41" s="276">
        <f t="shared" si="20"/>
        <v>466.73391649979681</v>
      </c>
      <c r="P41" s="276">
        <f t="shared" si="20"/>
        <v>659.48749604781767</v>
      </c>
    </row>
    <row r="42" spans="1:16" ht="19.5" customHeight="1">
      <c r="A42" s="272">
        <v>31</v>
      </c>
      <c r="B42" s="273" t="s">
        <v>209</v>
      </c>
      <c r="C42" s="274">
        <v>99.981200000000001</v>
      </c>
      <c r="D42" s="274">
        <v>111.00209999999998</v>
      </c>
      <c r="E42" s="274">
        <v>188.6387</v>
      </c>
      <c r="F42" s="274">
        <v>256.95</v>
      </c>
      <c r="G42" s="274">
        <v>334.10470000000004</v>
      </c>
      <c r="H42" s="275">
        <v>607.67999999999995</v>
      </c>
      <c r="I42" s="275">
        <v>674.7</v>
      </c>
      <c r="J42" s="276">
        <f t="shared" si="17"/>
        <v>94.539506032754645</v>
      </c>
      <c r="K42" s="276">
        <f t="shared" si="18"/>
        <v>96.590758788722582</v>
      </c>
      <c r="L42" s="276">
        <f t="shared" si="19"/>
        <v>154.76396363875034</v>
      </c>
      <c r="M42" s="276">
        <f t="shared" si="20"/>
        <v>193.43109652358513</v>
      </c>
      <c r="N42" s="276">
        <f t="shared" si="20"/>
        <v>251.51289540643495</v>
      </c>
      <c r="O42" s="276">
        <f t="shared" si="20"/>
        <v>457.45946190096208</v>
      </c>
      <c r="P42" s="276">
        <f t="shared" si="20"/>
        <v>507.91189268131114</v>
      </c>
    </row>
    <row r="43" spans="1:16" ht="19.5" customHeight="1">
      <c r="A43" s="272">
        <v>32</v>
      </c>
      <c r="B43" s="273" t="s">
        <v>210</v>
      </c>
      <c r="C43" s="274">
        <v>87.7423</v>
      </c>
      <c r="D43" s="274">
        <v>104.72129999999999</v>
      </c>
      <c r="E43" s="274">
        <v>164.96560000000002</v>
      </c>
      <c r="F43" s="274">
        <v>166.66</v>
      </c>
      <c r="G43" s="274">
        <v>324.79660000000001</v>
      </c>
      <c r="H43" s="275">
        <v>568.25</v>
      </c>
      <c r="I43" s="275">
        <v>630.04999999999995</v>
      </c>
      <c r="J43" s="276">
        <f t="shared" si="17"/>
        <v>82.96673474791028</v>
      </c>
      <c r="K43" s="276">
        <f t="shared" si="18"/>
        <v>91.125391576749024</v>
      </c>
      <c r="L43" s="276">
        <f t="shared" si="19"/>
        <v>135.34195326857446</v>
      </c>
      <c r="M43" s="276">
        <f t="shared" si="20"/>
        <v>125.46108794170344</v>
      </c>
      <c r="N43" s="276">
        <f t="shared" si="20"/>
        <v>244.5057890061579</v>
      </c>
      <c r="O43" s="276">
        <f t="shared" si="20"/>
        <v>427.77669040485409</v>
      </c>
      <c r="P43" s="276">
        <f t="shared" si="20"/>
        <v>474.29952272693055</v>
      </c>
    </row>
    <row r="44" spans="1:16" ht="19.5" customHeight="1">
      <c r="A44" s="272">
        <v>33</v>
      </c>
      <c r="B44" s="273" t="s">
        <v>211</v>
      </c>
      <c r="C44" s="274">
        <v>8747.427099999999</v>
      </c>
      <c r="D44" s="274">
        <v>9619.5153000000009</v>
      </c>
      <c r="E44" s="274">
        <v>11048.1445</v>
      </c>
      <c r="F44" s="274">
        <v>10490.81</v>
      </c>
      <c r="G44" s="274">
        <v>13575.529900000001</v>
      </c>
      <c r="H44" s="275">
        <v>15862</v>
      </c>
      <c r="I44" s="275">
        <v>16625.95</v>
      </c>
      <c r="J44" s="276">
        <f t="shared" si="17"/>
        <v>8271.3293808389117</v>
      </c>
      <c r="K44" s="276">
        <f t="shared" si="18"/>
        <v>8370.618952314655</v>
      </c>
      <c r="L44" s="276">
        <f t="shared" si="19"/>
        <v>9064.1773595431878</v>
      </c>
      <c r="M44" s="276">
        <f t="shared" si="20"/>
        <v>7897.4465137987627</v>
      </c>
      <c r="N44" s="276">
        <f t="shared" si="20"/>
        <v>10219.613288366283</v>
      </c>
      <c r="O44" s="276">
        <f t="shared" si="20"/>
        <v>11940.860295999639</v>
      </c>
      <c r="P44" s="276">
        <f t="shared" si="20"/>
        <v>12515.959288757736</v>
      </c>
    </row>
    <row r="45" spans="1:16" ht="19.5" customHeight="1">
      <c r="A45" s="272">
        <v>34</v>
      </c>
      <c r="B45" s="273" t="s">
        <v>212</v>
      </c>
      <c r="C45" s="274">
        <v>219.6148</v>
      </c>
      <c r="D45" s="274">
        <v>268.75650000000002</v>
      </c>
      <c r="E45" s="274">
        <v>265.87180000000001</v>
      </c>
      <c r="F45" s="274">
        <v>321.88</v>
      </c>
      <c r="G45" s="275">
        <v>375.60200000000003</v>
      </c>
      <c r="H45" s="275">
        <v>249.39</v>
      </c>
      <c r="I45" s="275">
        <v>442.33</v>
      </c>
      <c r="J45" s="276">
        <f t="shared" si="17"/>
        <v>207.66178751087409</v>
      </c>
      <c r="K45" s="276">
        <f t="shared" si="18"/>
        <v>233.86399234249913</v>
      </c>
      <c r="L45" s="276">
        <f t="shared" si="19"/>
        <v>218.12795353111053</v>
      </c>
      <c r="M45" s="276">
        <f t="shared" si="20"/>
        <v>242.3101823273461</v>
      </c>
      <c r="N45" s="276">
        <f t="shared" si="20"/>
        <v>282.751923395414</v>
      </c>
      <c r="O45" s="276">
        <f t="shared" si="20"/>
        <v>187.73995392884567</v>
      </c>
      <c r="P45" s="276">
        <f t="shared" si="20"/>
        <v>332.98453755702434</v>
      </c>
    </row>
    <row r="46" spans="1:16" ht="19.5" customHeight="1">
      <c r="A46" s="272">
        <v>35</v>
      </c>
      <c r="B46" s="273" t="s">
        <v>44</v>
      </c>
      <c r="C46" s="274">
        <v>1086.7253000000001</v>
      </c>
      <c r="D46" s="274">
        <v>1060.7583999999999</v>
      </c>
      <c r="E46" s="274">
        <v>1449.9279999999999</v>
      </c>
      <c r="F46" s="274">
        <v>1562.5</v>
      </c>
      <c r="G46" s="274">
        <v>1602.8970999999999</v>
      </c>
      <c r="H46" s="275">
        <v>1392</v>
      </c>
      <c r="I46" s="275">
        <v>2000</v>
      </c>
      <c r="J46" s="276">
        <f t="shared" si="17"/>
        <v>1027.5779152010289</v>
      </c>
      <c r="K46" s="276">
        <f t="shared" si="18"/>
        <v>923.04072398190044</v>
      </c>
      <c r="L46" s="276">
        <f t="shared" si="19"/>
        <v>1189.5576266736675</v>
      </c>
      <c r="M46" s="276">
        <f t="shared" si="20"/>
        <v>1176.2447492434394</v>
      </c>
      <c r="N46" s="276">
        <f t="shared" si="20"/>
        <v>1206.6555503696231</v>
      </c>
      <c r="O46" s="276">
        <f t="shared" si="20"/>
        <v>1047.8929222059953</v>
      </c>
      <c r="P46" s="276">
        <f t="shared" si="20"/>
        <v>1505.5932790316026</v>
      </c>
    </row>
    <row r="47" spans="1:16" s="269" customFormat="1" ht="19.5" customHeight="1">
      <c r="A47" s="291"/>
      <c r="B47" s="283" t="s">
        <v>213</v>
      </c>
      <c r="C47" s="284">
        <f t="shared" ref="C47:P47" si="21">SUM(C40:C46)</f>
        <v>11165.973499999998</v>
      </c>
      <c r="D47" s="284">
        <f t="shared" si="21"/>
        <v>12347.7515</v>
      </c>
      <c r="E47" s="284">
        <f t="shared" si="21"/>
        <v>14448.946400000001</v>
      </c>
      <c r="F47" s="284">
        <f t="shared" si="21"/>
        <v>14109.939999999999</v>
      </c>
      <c r="G47" s="284">
        <f t="shared" si="21"/>
        <v>18136.279299999998</v>
      </c>
      <c r="H47" s="284">
        <f t="shared" si="21"/>
        <v>21000.75</v>
      </c>
      <c r="I47" s="284">
        <f t="shared" si="21"/>
        <v>23116.18</v>
      </c>
      <c r="J47" s="285">
        <f t="shared" si="21"/>
        <v>10558.241139982601</v>
      </c>
      <c r="K47" s="285">
        <f t="shared" si="21"/>
        <v>10744.649756352246</v>
      </c>
      <c r="L47" s="285">
        <f t="shared" si="21"/>
        <v>11854.281307429774</v>
      </c>
      <c r="M47" s="285">
        <f t="shared" si="21"/>
        <v>10621.915415769585</v>
      </c>
      <c r="N47" s="285">
        <f t="shared" si="21"/>
        <v>13652.93011035999</v>
      </c>
      <c r="O47" s="285">
        <f t="shared" si="21"/>
        <v>15809.294027311462</v>
      </c>
      <c r="P47" s="285">
        <f t="shared" si="21"/>
        <v>17401.782622442373</v>
      </c>
    </row>
    <row r="48" spans="1:16" s="269" customFormat="1" ht="19.5" customHeight="1">
      <c r="A48" s="291"/>
      <c r="B48" s="283" t="s">
        <v>214</v>
      </c>
      <c r="C48" s="284">
        <f t="shared" ref="C48:P48" si="22">+C38+C47</f>
        <v>228339.25189999997</v>
      </c>
      <c r="D48" s="284">
        <f t="shared" si="22"/>
        <v>279082.8113</v>
      </c>
      <c r="E48" s="284">
        <f t="shared" si="22"/>
        <v>310122.81194000004</v>
      </c>
      <c r="F48" s="284">
        <f t="shared" si="22"/>
        <v>368546.36</v>
      </c>
      <c r="G48" s="284">
        <f t="shared" si="22"/>
        <v>427695.52496000001</v>
      </c>
      <c r="H48" s="284">
        <f t="shared" si="22"/>
        <v>553517.23170000012</v>
      </c>
      <c r="I48" s="284">
        <f t="shared" si="22"/>
        <v>690681.20103</v>
      </c>
      <c r="J48" s="285">
        <f t="shared" si="22"/>
        <v>215911.39216687463</v>
      </c>
      <c r="K48" s="285">
        <f t="shared" si="22"/>
        <v>242849.64436129486</v>
      </c>
      <c r="L48" s="285">
        <f t="shared" si="22"/>
        <v>254432.60365253349</v>
      </c>
      <c r="M48" s="285">
        <f t="shared" si="22"/>
        <v>277440.46131378069</v>
      </c>
      <c r="N48" s="285">
        <f t="shared" si="22"/>
        <v>321967.75392583449</v>
      </c>
      <c r="O48" s="285">
        <f t="shared" si="22"/>
        <v>416685.91193784913</v>
      </c>
      <c r="P48" s="285">
        <f t="shared" si="22"/>
        <v>519942.48711212154</v>
      </c>
    </row>
    <row r="49" spans="1:9" ht="16.5" customHeight="1">
      <c r="A49" s="504"/>
      <c r="B49" s="504"/>
      <c r="C49" s="292"/>
      <c r="D49" s="292"/>
      <c r="E49" s="499" t="s">
        <v>215</v>
      </c>
      <c r="F49" s="499"/>
      <c r="G49" s="499"/>
      <c r="H49" s="499"/>
      <c r="I49" s="293"/>
    </row>
    <row r="50" spans="1:9" ht="12" customHeight="1">
      <c r="A50" s="259"/>
      <c r="B50" s="294"/>
      <c r="C50" s="295"/>
      <c r="D50" s="295"/>
      <c r="E50" s="295"/>
      <c r="F50" s="295"/>
      <c r="G50" s="295"/>
      <c r="H50" s="259"/>
      <c r="I50" s="259"/>
    </row>
    <row r="51" spans="1:9" ht="15.75">
      <c r="A51" s="259"/>
      <c r="B51" s="296"/>
      <c r="C51" s="297" t="s">
        <v>48</v>
      </c>
      <c r="D51" s="297" t="s">
        <v>49</v>
      </c>
      <c r="E51" s="297" t="s">
        <v>5</v>
      </c>
      <c r="F51" s="297" t="s">
        <v>6</v>
      </c>
      <c r="G51" s="298" t="s">
        <v>7</v>
      </c>
      <c r="H51" s="299" t="s">
        <v>139</v>
      </c>
      <c r="I51" s="259"/>
    </row>
    <row r="52" spans="1:9">
      <c r="A52" s="259"/>
      <c r="B52" s="300" t="s">
        <v>216</v>
      </c>
      <c r="C52" s="301">
        <v>1.0575600000000001</v>
      </c>
      <c r="D52" s="301">
        <v>1.1492</v>
      </c>
      <c r="E52" s="301">
        <v>1.21888</v>
      </c>
      <c r="F52" s="301">
        <v>1.3283799999999999</v>
      </c>
      <c r="G52" s="301">
        <v>1.4418200000000001</v>
      </c>
      <c r="H52" s="302">
        <v>1.6520900000000001</v>
      </c>
      <c r="I52" s="259"/>
    </row>
    <row r="53" spans="1:9">
      <c r="A53" s="259"/>
      <c r="B53" s="303"/>
      <c r="C53" s="259"/>
      <c r="D53" s="259"/>
      <c r="E53" s="259"/>
      <c r="F53" s="259"/>
      <c r="G53" s="259"/>
      <c r="H53" s="259"/>
      <c r="I53" s="259"/>
    </row>
    <row r="54" spans="1:9">
      <c r="A54" s="259"/>
      <c r="B54" s="303"/>
      <c r="C54" s="259"/>
      <c r="D54" s="259"/>
      <c r="E54" s="259"/>
      <c r="F54" s="259"/>
      <c r="G54" s="259"/>
      <c r="H54" s="259"/>
      <c r="I54" s="259"/>
    </row>
    <row r="55" spans="1:9">
      <c r="A55" s="259"/>
      <c r="B55" s="303"/>
      <c r="C55" s="259"/>
      <c r="D55" s="259"/>
      <c r="E55" s="259"/>
      <c r="F55" s="259"/>
      <c r="G55" s="259"/>
      <c r="H55" s="259"/>
      <c r="I55" s="259"/>
    </row>
    <row r="56" spans="1:9">
      <c r="A56" s="259"/>
      <c r="B56" s="303"/>
      <c r="C56" s="259"/>
      <c r="D56" s="259"/>
      <c r="E56" s="259"/>
      <c r="F56" s="259"/>
      <c r="G56" s="259"/>
      <c r="H56" s="259"/>
      <c r="I56" s="259"/>
    </row>
    <row r="57" spans="1:9">
      <c r="A57" s="259"/>
      <c r="B57" s="303"/>
      <c r="C57" s="259"/>
      <c r="D57" s="259"/>
      <c r="E57" s="259"/>
      <c r="F57" s="259"/>
      <c r="G57" s="259"/>
      <c r="H57" s="259"/>
      <c r="I57" s="259"/>
    </row>
    <row r="58" spans="1:9">
      <c r="A58" s="259"/>
      <c r="B58" s="303"/>
      <c r="C58" s="259"/>
      <c r="D58" s="259"/>
      <c r="E58" s="259"/>
      <c r="F58" s="259"/>
      <c r="G58" s="259"/>
      <c r="H58" s="259"/>
      <c r="I58" s="259"/>
    </row>
    <row r="59" spans="1:9">
      <c r="A59" s="259"/>
      <c r="B59" s="303"/>
      <c r="C59" s="259"/>
      <c r="D59" s="259"/>
      <c r="E59" s="259"/>
      <c r="F59" s="259"/>
      <c r="G59" s="259"/>
      <c r="H59" s="259"/>
      <c r="I59" s="259"/>
    </row>
    <row r="60" spans="1:9">
      <c r="A60" s="259"/>
      <c r="B60" s="303"/>
      <c r="C60" s="259"/>
      <c r="D60" s="259"/>
      <c r="E60" s="259"/>
      <c r="F60" s="259"/>
      <c r="G60" s="259"/>
      <c r="H60" s="259"/>
      <c r="I60" s="259"/>
    </row>
    <row r="61" spans="1:9">
      <c r="A61" s="259"/>
      <c r="B61" s="303"/>
      <c r="C61" s="259"/>
      <c r="D61" s="259"/>
      <c r="E61" s="259"/>
      <c r="F61" s="259"/>
      <c r="G61" s="259"/>
      <c r="H61" s="259"/>
      <c r="I61" s="259"/>
    </row>
    <row r="62" spans="1:9">
      <c r="A62" s="259"/>
      <c r="B62" s="303"/>
      <c r="C62" s="259"/>
      <c r="D62" s="259"/>
      <c r="E62" s="259"/>
      <c r="F62" s="259"/>
      <c r="G62" s="259"/>
      <c r="H62" s="259"/>
      <c r="I62" s="259"/>
    </row>
    <row r="63" spans="1:9">
      <c r="A63" s="259"/>
      <c r="B63" s="303"/>
      <c r="C63" s="259"/>
      <c r="D63" s="259"/>
      <c r="E63" s="259"/>
      <c r="F63" s="259"/>
      <c r="G63" s="259"/>
      <c r="H63" s="259"/>
      <c r="I63" s="259"/>
    </row>
    <row r="64" spans="1:9">
      <c r="A64" s="259"/>
      <c r="B64" s="303"/>
      <c r="C64" s="259"/>
      <c r="D64" s="259"/>
      <c r="E64" s="259"/>
      <c r="F64" s="259"/>
      <c r="G64" s="259"/>
      <c r="H64" s="259"/>
      <c r="I64" s="259"/>
    </row>
    <row r="65" spans="1:9">
      <c r="A65" s="259"/>
      <c r="B65" s="303"/>
      <c r="C65" s="259"/>
      <c r="D65" s="259"/>
      <c r="E65" s="259"/>
      <c r="F65" s="259"/>
      <c r="G65" s="259"/>
      <c r="H65" s="259"/>
      <c r="I65" s="259"/>
    </row>
    <row r="66" spans="1:9">
      <c r="A66" s="259"/>
      <c r="B66" s="303"/>
      <c r="C66" s="259"/>
      <c r="D66" s="259"/>
      <c r="E66" s="259"/>
      <c r="F66" s="259"/>
      <c r="G66" s="259"/>
      <c r="H66" s="259"/>
      <c r="I66" s="259"/>
    </row>
    <row r="67" spans="1:9">
      <c r="A67" s="259"/>
      <c r="B67" s="303"/>
      <c r="C67" s="259"/>
      <c r="D67" s="259"/>
      <c r="E67" s="259"/>
      <c r="F67" s="259"/>
      <c r="G67" s="259"/>
      <c r="H67" s="259"/>
      <c r="I67" s="259"/>
    </row>
    <row r="68" spans="1:9">
      <c r="A68" s="259"/>
      <c r="B68" s="303"/>
      <c r="C68" s="259"/>
      <c r="D68" s="259"/>
      <c r="E68" s="259"/>
      <c r="F68" s="259"/>
      <c r="G68" s="259"/>
      <c r="H68" s="259"/>
      <c r="I68" s="259"/>
    </row>
    <row r="69" spans="1:9">
      <c r="A69" s="259"/>
      <c r="B69" s="303"/>
      <c r="C69" s="259"/>
      <c r="D69" s="259"/>
      <c r="E69" s="259"/>
      <c r="F69" s="259"/>
      <c r="G69" s="259"/>
      <c r="H69" s="259"/>
      <c r="I69" s="259"/>
    </row>
    <row r="70" spans="1:9">
      <c r="A70" s="259"/>
      <c r="B70" s="303"/>
      <c r="C70" s="259"/>
      <c r="D70" s="259"/>
      <c r="E70" s="259"/>
      <c r="F70" s="259"/>
      <c r="G70" s="259"/>
      <c r="H70" s="259"/>
      <c r="I70" s="259"/>
    </row>
    <row r="71" spans="1:9">
      <c r="A71" s="259"/>
      <c r="B71" s="303"/>
      <c r="C71" s="259"/>
      <c r="D71" s="259"/>
      <c r="E71" s="259"/>
      <c r="F71" s="259"/>
      <c r="G71" s="259"/>
      <c r="H71" s="259"/>
      <c r="I71" s="259"/>
    </row>
    <row r="72" spans="1:9">
      <c r="A72" s="259"/>
      <c r="B72" s="303"/>
      <c r="C72" s="259"/>
      <c r="D72" s="259"/>
      <c r="E72" s="259"/>
      <c r="F72" s="259"/>
      <c r="G72" s="259"/>
      <c r="H72" s="259"/>
      <c r="I72" s="259"/>
    </row>
    <row r="73" spans="1:9">
      <c r="A73" s="259"/>
      <c r="B73" s="303"/>
      <c r="C73" s="259"/>
      <c r="D73" s="259"/>
      <c r="E73" s="259"/>
      <c r="F73" s="259"/>
      <c r="G73" s="259"/>
      <c r="H73" s="259"/>
      <c r="I73" s="259"/>
    </row>
    <row r="74" spans="1:9">
      <c r="A74" s="259"/>
      <c r="B74" s="303"/>
      <c r="C74" s="259"/>
      <c r="D74" s="259"/>
      <c r="E74" s="259"/>
      <c r="F74" s="259"/>
      <c r="G74" s="259"/>
      <c r="H74" s="259"/>
      <c r="I74" s="259"/>
    </row>
    <row r="75" spans="1:9">
      <c r="A75" s="259"/>
      <c r="B75" s="303"/>
      <c r="C75" s="259"/>
      <c r="D75" s="259"/>
      <c r="E75" s="259"/>
      <c r="F75" s="259"/>
      <c r="G75" s="259"/>
      <c r="H75" s="259"/>
      <c r="I75" s="259"/>
    </row>
    <row r="76" spans="1:9">
      <c r="A76" s="259"/>
      <c r="B76" s="303"/>
      <c r="C76" s="259"/>
      <c r="D76" s="259"/>
      <c r="E76" s="259"/>
      <c r="F76" s="259"/>
      <c r="G76" s="259"/>
      <c r="H76" s="259"/>
      <c r="I76" s="259"/>
    </row>
    <row r="77" spans="1:9">
      <c r="A77" s="259"/>
      <c r="B77" s="303"/>
      <c r="C77" s="259"/>
      <c r="D77" s="259"/>
      <c r="E77" s="259"/>
      <c r="F77" s="259"/>
      <c r="G77" s="259"/>
      <c r="H77" s="259"/>
      <c r="I77" s="259"/>
    </row>
    <row r="78" spans="1:9">
      <c r="A78" s="259"/>
      <c r="B78" s="303"/>
      <c r="C78" s="259"/>
      <c r="D78" s="259"/>
      <c r="E78" s="259"/>
      <c r="F78" s="259"/>
      <c r="G78" s="259"/>
      <c r="H78" s="259"/>
      <c r="I78" s="259"/>
    </row>
    <row r="79" spans="1:9">
      <c r="A79" s="259"/>
      <c r="B79" s="303"/>
      <c r="C79" s="259"/>
      <c r="D79" s="259"/>
      <c r="E79" s="259"/>
      <c r="F79" s="259"/>
      <c r="G79" s="259"/>
      <c r="H79" s="259"/>
      <c r="I79" s="259"/>
    </row>
    <row r="80" spans="1:9">
      <c r="A80" s="259"/>
      <c r="B80" s="303"/>
      <c r="C80" s="259"/>
      <c r="D80" s="259"/>
      <c r="E80" s="259"/>
      <c r="F80" s="259"/>
      <c r="G80" s="259"/>
      <c r="H80" s="259"/>
      <c r="I80" s="259"/>
    </row>
    <row r="81" spans="1:9">
      <c r="A81" s="259"/>
      <c r="B81" s="303"/>
      <c r="C81" s="259"/>
      <c r="D81" s="259"/>
      <c r="E81" s="259"/>
      <c r="F81" s="259"/>
      <c r="G81" s="259"/>
      <c r="H81" s="259"/>
      <c r="I81" s="259"/>
    </row>
    <row r="82" spans="1:9">
      <c r="A82" s="259"/>
      <c r="B82" s="303"/>
      <c r="C82" s="259"/>
      <c r="D82" s="259"/>
      <c r="E82" s="259"/>
      <c r="F82" s="259"/>
      <c r="G82" s="259"/>
      <c r="H82" s="259"/>
      <c r="I82" s="259"/>
    </row>
    <row r="83" spans="1:9">
      <c r="A83" s="259"/>
      <c r="B83" s="303"/>
      <c r="C83" s="259"/>
      <c r="D83" s="259"/>
      <c r="E83" s="259"/>
      <c r="F83" s="259"/>
      <c r="G83" s="259"/>
      <c r="H83" s="259"/>
      <c r="I83" s="259"/>
    </row>
    <row r="84" spans="1:9">
      <c r="A84" s="259"/>
      <c r="B84" s="303"/>
      <c r="C84" s="259"/>
      <c r="D84" s="259"/>
      <c r="E84" s="259"/>
      <c r="F84" s="259"/>
      <c r="G84" s="259"/>
      <c r="H84" s="259"/>
      <c r="I84" s="259"/>
    </row>
    <row r="85" spans="1:9">
      <c r="A85" s="259"/>
      <c r="B85" s="303"/>
      <c r="C85" s="259"/>
      <c r="D85" s="259"/>
      <c r="E85" s="259"/>
      <c r="F85" s="259"/>
      <c r="G85" s="259"/>
      <c r="H85" s="259"/>
      <c r="I85" s="259"/>
    </row>
    <row r="86" spans="1:9">
      <c r="A86" s="259"/>
      <c r="B86" s="303"/>
      <c r="C86" s="259"/>
      <c r="D86" s="259"/>
      <c r="E86" s="259"/>
      <c r="F86" s="259"/>
      <c r="G86" s="259"/>
      <c r="H86" s="259"/>
      <c r="I86" s="259"/>
    </row>
    <row r="87" spans="1:9">
      <c r="A87" s="259"/>
      <c r="B87" s="303"/>
      <c r="C87" s="259"/>
      <c r="D87" s="259"/>
      <c r="E87" s="259"/>
      <c r="F87" s="259"/>
      <c r="G87" s="259"/>
      <c r="H87" s="259"/>
      <c r="I87" s="259"/>
    </row>
    <row r="88" spans="1:9">
      <c r="A88" s="259"/>
      <c r="B88" s="303"/>
      <c r="C88" s="259"/>
      <c r="D88" s="259"/>
      <c r="E88" s="259"/>
      <c r="F88" s="259"/>
      <c r="G88" s="259"/>
      <c r="H88" s="259"/>
      <c r="I88" s="259"/>
    </row>
    <row r="89" spans="1:9">
      <c r="A89" s="259"/>
      <c r="B89" s="303"/>
      <c r="C89" s="259"/>
      <c r="D89" s="259"/>
      <c r="E89" s="259"/>
      <c r="F89" s="259"/>
      <c r="G89" s="259"/>
      <c r="H89" s="259"/>
      <c r="I89" s="259"/>
    </row>
    <row r="90" spans="1:9">
      <c r="A90" s="259"/>
      <c r="B90" s="303"/>
      <c r="C90" s="259"/>
      <c r="D90" s="259"/>
      <c r="E90" s="259"/>
      <c r="F90" s="259"/>
      <c r="G90" s="259"/>
      <c r="H90" s="259"/>
      <c r="I90" s="259"/>
    </row>
    <row r="91" spans="1:9">
      <c r="A91" s="259"/>
      <c r="B91" s="303"/>
      <c r="C91" s="259"/>
      <c r="D91" s="259"/>
      <c r="E91" s="259"/>
      <c r="F91" s="259"/>
      <c r="G91" s="259"/>
      <c r="H91" s="259"/>
      <c r="I91" s="259"/>
    </row>
    <row r="92" spans="1:9">
      <c r="A92" s="259"/>
      <c r="B92" s="303"/>
      <c r="C92" s="259"/>
      <c r="D92" s="259"/>
      <c r="E92" s="259"/>
      <c r="F92" s="259"/>
      <c r="G92" s="259"/>
      <c r="H92" s="259"/>
      <c r="I92" s="259"/>
    </row>
    <row r="93" spans="1:9">
      <c r="A93" s="259"/>
      <c r="B93" s="303"/>
      <c r="C93" s="259"/>
      <c r="D93" s="259"/>
      <c r="E93" s="259"/>
      <c r="F93" s="259"/>
      <c r="G93" s="259"/>
      <c r="H93" s="259"/>
      <c r="I93" s="259"/>
    </row>
    <row r="94" spans="1:9">
      <c r="A94" s="259"/>
      <c r="B94" s="303"/>
      <c r="C94" s="259"/>
      <c r="D94" s="259"/>
      <c r="E94" s="259"/>
      <c r="F94" s="259"/>
      <c r="G94" s="259"/>
      <c r="H94" s="259"/>
      <c r="I94" s="259"/>
    </row>
    <row r="95" spans="1:9">
      <c r="A95" s="259"/>
      <c r="B95" s="303"/>
      <c r="C95" s="259"/>
      <c r="D95" s="259"/>
      <c r="E95" s="259"/>
      <c r="F95" s="259"/>
      <c r="G95" s="259"/>
      <c r="H95" s="259"/>
      <c r="I95" s="259"/>
    </row>
    <row r="96" spans="1:9">
      <c r="A96" s="259"/>
      <c r="B96" s="303"/>
      <c r="C96" s="259"/>
      <c r="D96" s="259"/>
      <c r="E96" s="259"/>
      <c r="F96" s="259"/>
      <c r="G96" s="259"/>
      <c r="H96" s="259"/>
      <c r="I96" s="259"/>
    </row>
    <row r="97" spans="1:9">
      <c r="A97" s="259"/>
      <c r="B97" s="303"/>
      <c r="C97" s="259"/>
      <c r="D97" s="259"/>
      <c r="E97" s="259"/>
      <c r="F97" s="259"/>
      <c r="G97" s="259"/>
      <c r="H97" s="259"/>
      <c r="I97" s="259"/>
    </row>
    <row r="98" spans="1:9">
      <c r="A98" s="259"/>
      <c r="B98" s="303"/>
      <c r="C98" s="259"/>
      <c r="D98" s="259"/>
      <c r="E98" s="259"/>
      <c r="F98" s="259"/>
      <c r="G98" s="259"/>
      <c r="H98" s="259"/>
      <c r="I98" s="259"/>
    </row>
    <row r="99" spans="1:9">
      <c r="A99" s="259"/>
      <c r="B99" s="303"/>
      <c r="C99" s="259"/>
      <c r="D99" s="259"/>
      <c r="E99" s="259"/>
      <c r="F99" s="259"/>
      <c r="G99" s="259"/>
      <c r="H99" s="259"/>
      <c r="I99" s="259"/>
    </row>
    <row r="100" spans="1:9">
      <c r="A100" s="259"/>
      <c r="B100" s="303"/>
      <c r="C100" s="259"/>
      <c r="D100" s="259"/>
      <c r="E100" s="259"/>
      <c r="F100" s="259"/>
      <c r="G100" s="259"/>
      <c r="H100" s="259"/>
      <c r="I100" s="259"/>
    </row>
    <row r="101" spans="1:9">
      <c r="A101" s="259"/>
      <c r="B101" s="303"/>
      <c r="C101" s="259"/>
      <c r="D101" s="259"/>
      <c r="E101" s="259"/>
      <c r="F101" s="259"/>
      <c r="G101" s="259"/>
      <c r="H101" s="259"/>
      <c r="I101" s="259"/>
    </row>
    <row r="102" spans="1:9">
      <c r="A102" s="259"/>
      <c r="B102" s="303"/>
      <c r="C102" s="259"/>
      <c r="D102" s="259"/>
      <c r="E102" s="259"/>
      <c r="F102" s="259"/>
      <c r="G102" s="259"/>
      <c r="H102" s="259"/>
      <c r="I102" s="259"/>
    </row>
    <row r="103" spans="1:9">
      <c r="A103" s="259"/>
      <c r="B103" s="303"/>
      <c r="C103" s="259"/>
      <c r="D103" s="259"/>
      <c r="E103" s="259"/>
      <c r="F103" s="259"/>
      <c r="G103" s="259"/>
      <c r="H103" s="259"/>
      <c r="I103" s="259"/>
    </row>
    <row r="104" spans="1:9">
      <c r="A104" s="259"/>
      <c r="B104" s="303"/>
      <c r="C104" s="259"/>
      <c r="D104" s="259"/>
      <c r="E104" s="259"/>
      <c r="F104" s="259"/>
      <c r="G104" s="259"/>
      <c r="H104" s="259"/>
      <c r="I104" s="259"/>
    </row>
    <row r="105" spans="1:9">
      <c r="A105" s="259"/>
      <c r="B105" s="303"/>
      <c r="C105" s="259"/>
      <c r="D105" s="259"/>
      <c r="E105" s="259"/>
      <c r="F105" s="259"/>
      <c r="G105" s="259"/>
      <c r="H105" s="259"/>
      <c r="I105" s="259"/>
    </row>
    <row r="106" spans="1:9">
      <c r="A106" s="259"/>
      <c r="B106" s="303"/>
      <c r="C106" s="259"/>
      <c r="D106" s="259"/>
      <c r="E106" s="259"/>
      <c r="F106" s="259"/>
      <c r="G106" s="259"/>
      <c r="H106" s="259"/>
      <c r="I106" s="259"/>
    </row>
    <row r="107" spans="1:9">
      <c r="A107" s="259"/>
      <c r="B107" s="303"/>
      <c r="C107" s="259"/>
      <c r="D107" s="259"/>
      <c r="E107" s="259"/>
      <c r="F107" s="259"/>
      <c r="G107" s="259"/>
      <c r="H107" s="259"/>
      <c r="I107" s="259"/>
    </row>
    <row r="108" spans="1:9">
      <c r="A108" s="259"/>
      <c r="B108" s="303"/>
      <c r="C108" s="259"/>
      <c r="D108" s="259"/>
      <c r="E108" s="259"/>
      <c r="F108" s="259"/>
      <c r="G108" s="259"/>
      <c r="H108" s="259"/>
      <c r="I108" s="259"/>
    </row>
    <row r="109" spans="1:9">
      <c r="A109" s="259"/>
      <c r="B109" s="303"/>
      <c r="C109" s="259"/>
      <c r="D109" s="259"/>
      <c r="E109" s="259"/>
      <c r="F109" s="259"/>
      <c r="G109" s="259"/>
      <c r="H109" s="259"/>
      <c r="I109" s="259"/>
    </row>
    <row r="110" spans="1:9">
      <c r="A110" s="259"/>
      <c r="B110" s="303"/>
      <c r="C110" s="259"/>
      <c r="D110" s="259"/>
      <c r="E110" s="259"/>
      <c r="F110" s="259"/>
      <c r="G110" s="259"/>
      <c r="H110" s="259"/>
      <c r="I110" s="259"/>
    </row>
    <row r="111" spans="1:9">
      <c r="A111" s="259"/>
      <c r="B111" s="303"/>
      <c r="C111" s="259"/>
      <c r="D111" s="259"/>
      <c r="E111" s="259"/>
      <c r="F111" s="259"/>
      <c r="G111" s="259"/>
      <c r="H111" s="259"/>
      <c r="I111" s="259"/>
    </row>
    <row r="112" spans="1:9">
      <c r="A112" s="259"/>
      <c r="B112" s="303"/>
      <c r="C112" s="259"/>
      <c r="D112" s="259"/>
      <c r="E112" s="259"/>
      <c r="F112" s="259"/>
      <c r="G112" s="259"/>
      <c r="H112" s="259"/>
      <c r="I112" s="259"/>
    </row>
    <row r="113" spans="1:9">
      <c r="A113" s="259"/>
      <c r="B113" s="303"/>
      <c r="C113" s="259"/>
      <c r="D113" s="259"/>
      <c r="E113" s="259"/>
      <c r="F113" s="259"/>
      <c r="G113" s="259"/>
      <c r="H113" s="259"/>
      <c r="I113" s="259"/>
    </row>
    <row r="114" spans="1:9">
      <c r="A114" s="259"/>
      <c r="B114" s="303"/>
      <c r="C114" s="259"/>
      <c r="D114" s="259"/>
      <c r="E114" s="259"/>
      <c r="F114" s="259"/>
      <c r="G114" s="259"/>
      <c r="H114" s="259"/>
      <c r="I114" s="259"/>
    </row>
    <row r="115" spans="1:9">
      <c r="A115" s="259"/>
      <c r="B115" s="303"/>
      <c r="C115" s="259"/>
      <c r="D115" s="259"/>
      <c r="E115" s="259"/>
      <c r="F115" s="259"/>
      <c r="G115" s="259"/>
      <c r="H115" s="259"/>
      <c r="I115" s="259"/>
    </row>
    <row r="116" spans="1:9">
      <c r="A116" s="259"/>
      <c r="B116" s="303"/>
      <c r="C116" s="259"/>
      <c r="D116" s="259"/>
      <c r="E116" s="259"/>
      <c r="F116" s="259"/>
      <c r="G116" s="259"/>
      <c r="H116" s="259"/>
      <c r="I116" s="259"/>
    </row>
    <row r="117" spans="1:9">
      <c r="A117" s="259"/>
      <c r="B117" s="303"/>
      <c r="C117" s="259"/>
      <c r="D117" s="259"/>
      <c r="E117" s="259"/>
      <c r="F117" s="259"/>
      <c r="G117" s="259"/>
      <c r="H117" s="259"/>
      <c r="I117" s="259"/>
    </row>
    <row r="118" spans="1:9">
      <c r="A118" s="259"/>
      <c r="B118" s="303"/>
      <c r="C118" s="259"/>
      <c r="D118" s="259"/>
      <c r="E118" s="259"/>
      <c r="F118" s="259"/>
      <c r="G118" s="259"/>
      <c r="H118" s="259"/>
      <c r="I118" s="259"/>
    </row>
    <row r="119" spans="1:9">
      <c r="A119" s="259"/>
      <c r="B119" s="303"/>
      <c r="C119" s="259"/>
      <c r="D119" s="259"/>
      <c r="E119" s="259"/>
      <c r="F119" s="259"/>
      <c r="G119" s="259"/>
      <c r="H119" s="259"/>
      <c r="I119" s="259"/>
    </row>
    <row r="120" spans="1:9">
      <c r="A120" s="259"/>
      <c r="B120" s="303"/>
      <c r="C120" s="259"/>
      <c r="D120" s="259"/>
      <c r="E120" s="259"/>
      <c r="F120" s="259"/>
      <c r="G120" s="259"/>
      <c r="H120" s="259"/>
      <c r="I120" s="259"/>
    </row>
    <row r="121" spans="1:9">
      <c r="A121" s="259"/>
      <c r="B121" s="303"/>
      <c r="C121" s="259"/>
      <c r="D121" s="259"/>
      <c r="E121" s="259"/>
      <c r="F121" s="259"/>
      <c r="G121" s="259"/>
      <c r="H121" s="259"/>
      <c r="I121" s="259"/>
    </row>
    <row r="122" spans="1:9">
      <c r="A122" s="259"/>
      <c r="B122" s="303"/>
      <c r="C122" s="259"/>
      <c r="D122" s="259"/>
      <c r="E122" s="259"/>
      <c r="F122" s="259"/>
      <c r="G122" s="259"/>
      <c r="H122" s="259"/>
      <c r="I122" s="259"/>
    </row>
    <row r="123" spans="1:9">
      <c r="A123" s="259"/>
      <c r="B123" s="303"/>
      <c r="C123" s="259"/>
      <c r="D123" s="259"/>
      <c r="E123" s="259"/>
      <c r="F123" s="259"/>
      <c r="G123" s="259"/>
      <c r="H123" s="259"/>
      <c r="I123" s="259"/>
    </row>
    <row r="124" spans="1:9">
      <c r="A124" s="259"/>
      <c r="B124" s="303"/>
      <c r="C124" s="259"/>
      <c r="D124" s="259"/>
      <c r="E124" s="259"/>
      <c r="F124" s="259"/>
      <c r="G124" s="259"/>
      <c r="H124" s="259"/>
      <c r="I124" s="259"/>
    </row>
    <row r="125" spans="1:9">
      <c r="A125" s="259"/>
      <c r="B125" s="303"/>
      <c r="C125" s="259"/>
      <c r="D125" s="259"/>
      <c r="E125" s="259"/>
      <c r="F125" s="259"/>
      <c r="G125" s="259"/>
      <c r="H125" s="259"/>
      <c r="I125" s="259"/>
    </row>
    <row r="126" spans="1:9">
      <c r="A126" s="259"/>
      <c r="B126" s="303"/>
      <c r="C126" s="259"/>
      <c r="D126" s="259"/>
      <c r="E126" s="259"/>
      <c r="F126" s="259"/>
      <c r="G126" s="259"/>
      <c r="H126" s="259"/>
      <c r="I126" s="259"/>
    </row>
    <row r="127" spans="1:9">
      <c r="A127" s="259"/>
      <c r="B127" s="303"/>
      <c r="C127" s="259"/>
      <c r="D127" s="259"/>
      <c r="E127" s="259"/>
      <c r="F127" s="259"/>
      <c r="G127" s="259"/>
      <c r="H127" s="259"/>
      <c r="I127" s="259"/>
    </row>
  </sheetData>
  <mergeCells count="11">
    <mergeCell ref="N2:P2"/>
    <mergeCell ref="E49:H49"/>
    <mergeCell ref="B6:C6"/>
    <mergeCell ref="B19:C19"/>
    <mergeCell ref="B39:C39"/>
    <mergeCell ref="A49:B49"/>
    <mergeCell ref="A1:P1"/>
    <mergeCell ref="A3:A5"/>
    <mergeCell ref="B3:B5"/>
    <mergeCell ref="C5:I5"/>
    <mergeCell ref="J5:P5"/>
  </mergeCells>
  <phoneticPr fontId="0" type="noConversion"/>
  <printOptions horizontalCentered="1"/>
  <pageMargins left="0.51181102362204722" right="0" top="0.78740157480314965" bottom="0.23622047244094491" header="0.15748031496062992" footer="0.15748031496062992"/>
  <pageSetup paperSize="9" scale="52" orientation="landscape" horizontalDpi="200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P47"/>
  <sheetViews>
    <sheetView workbookViewId="0">
      <pane xSplit="2" ySplit="5" topLeftCell="C6" activePane="bottomRight" state="frozen"/>
      <selection activeCell="J4" sqref="J4:P5"/>
      <selection pane="topRight" activeCell="J4" sqref="J4:P5"/>
      <selection pane="bottomLeft" activeCell="J4" sqref="J4:P5"/>
      <selection pane="bottomRight" activeCell="A2" sqref="A2"/>
    </sheetView>
  </sheetViews>
  <sheetFormatPr defaultRowHeight="15"/>
  <cols>
    <col min="1" max="1" width="5.28515625" style="400" customWidth="1"/>
    <col min="2" max="2" width="35.28515625" style="296" customWidth="1"/>
    <col min="3" max="15" width="12" style="296" customWidth="1"/>
    <col min="16" max="16" width="11.85546875" style="296" customWidth="1"/>
    <col min="17" max="16384" width="9.140625" style="296"/>
  </cols>
  <sheetData>
    <row r="1" spans="1:16" ht="24" customHeight="1">
      <c r="A1" s="559" t="s">
        <v>321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</row>
    <row r="2" spans="1:16" ht="24" customHeight="1">
      <c r="A2" s="435"/>
      <c r="B2" s="122">
        <v>41834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6"/>
      <c r="O2" s="558" t="s">
        <v>265</v>
      </c>
      <c r="P2" s="558"/>
    </row>
    <row r="3" spans="1:16" s="409" customFormat="1" ht="24" customHeight="1">
      <c r="A3" s="541" t="s">
        <v>71</v>
      </c>
      <c r="B3" s="557" t="s">
        <v>85</v>
      </c>
      <c r="C3" s="547" t="s">
        <v>266</v>
      </c>
      <c r="D3" s="548"/>
      <c r="E3" s="548"/>
      <c r="F3" s="548"/>
      <c r="G3" s="548"/>
      <c r="H3" s="548"/>
      <c r="I3" s="549"/>
      <c r="J3" s="550" t="s">
        <v>267</v>
      </c>
      <c r="K3" s="550"/>
      <c r="L3" s="550"/>
      <c r="M3" s="550"/>
      <c r="N3" s="550"/>
      <c r="O3" s="550"/>
      <c r="P3" s="550"/>
    </row>
    <row r="4" spans="1:16" s="409" customFormat="1">
      <c r="A4" s="541"/>
      <c r="B4" s="557"/>
      <c r="C4" s="377" t="s">
        <v>48</v>
      </c>
      <c r="D4" s="377" t="s">
        <v>49</v>
      </c>
      <c r="E4" s="377" t="s">
        <v>5</v>
      </c>
      <c r="F4" s="377" t="s">
        <v>6</v>
      </c>
      <c r="G4" s="377" t="s">
        <v>7</v>
      </c>
      <c r="H4" s="377" t="s">
        <v>122</v>
      </c>
      <c r="I4" s="377" t="s">
        <v>139</v>
      </c>
      <c r="J4" s="377" t="s">
        <v>48</v>
      </c>
      <c r="K4" s="377" t="s">
        <v>49</v>
      </c>
      <c r="L4" s="377" t="s">
        <v>5</v>
      </c>
      <c r="M4" s="377" t="s">
        <v>6</v>
      </c>
      <c r="N4" s="377" t="s">
        <v>7</v>
      </c>
      <c r="O4" s="377" t="s">
        <v>122</v>
      </c>
      <c r="P4" s="377" t="s">
        <v>139</v>
      </c>
    </row>
    <row r="5" spans="1:16" s="409" customFormat="1">
      <c r="A5" s="375"/>
      <c r="B5" s="375"/>
      <c r="C5" s="377" t="s">
        <v>8</v>
      </c>
      <c r="D5" s="377" t="s">
        <v>8</v>
      </c>
      <c r="E5" s="377" t="s">
        <v>8</v>
      </c>
      <c r="F5" s="377" t="s">
        <v>8</v>
      </c>
      <c r="G5" s="377" t="s">
        <v>253</v>
      </c>
      <c r="H5" s="377" t="s">
        <v>224</v>
      </c>
      <c r="I5" s="377" t="s">
        <v>225</v>
      </c>
      <c r="J5" s="377" t="s">
        <v>8</v>
      </c>
      <c r="K5" s="377" t="s">
        <v>8</v>
      </c>
      <c r="L5" s="377" t="s">
        <v>8</v>
      </c>
      <c r="M5" s="377" t="s">
        <v>8</v>
      </c>
      <c r="N5" s="377" t="s">
        <v>253</v>
      </c>
      <c r="O5" s="377" t="s">
        <v>224</v>
      </c>
      <c r="P5" s="377" t="s">
        <v>225</v>
      </c>
    </row>
    <row r="6" spans="1:16" ht="15.75">
      <c r="A6" s="421" t="s">
        <v>226</v>
      </c>
      <c r="B6" s="422" t="s">
        <v>227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</row>
    <row r="7" spans="1:16" ht="15.75">
      <c r="A7" s="424">
        <v>1</v>
      </c>
      <c r="B7" s="425" t="s">
        <v>12</v>
      </c>
      <c r="C7" s="401">
        <f ca="1">+Borrowings!C7/'Aggregate As% of GSDP'!K6*100</f>
        <v>7.6771309771309761</v>
      </c>
      <c r="D7" s="401">
        <f ca="1">+Borrowings!D7/'Aggregate As% of GSDP'!L6*100</f>
        <v>4.3536135044839117</v>
      </c>
      <c r="E7" s="401">
        <f ca="1">+Borrowings!E7/'Aggregate As% of GSDP'!M6*100</f>
        <v>4.916510569975916</v>
      </c>
      <c r="F7" s="401">
        <f ca="1">+Borrowings!F7/'Aggregate As% of GSDP'!N6*100</f>
        <v>1.7544657716631531</v>
      </c>
      <c r="G7" s="401">
        <f ca="1">+Borrowings!G7/'Aggregate As% of GSDP'!O6*100</f>
        <v>2.9933138713626519</v>
      </c>
      <c r="H7" s="401">
        <f ca="1">+Borrowings!H7/'Aggregate As% of GSDP'!P6*100</f>
        <v>3.9667521296832353</v>
      </c>
      <c r="I7" s="401">
        <f ca="1">+Borrowings!I7/'Aggregate As% of GSDP'!Q6*100</f>
        <v>4.5957256015543271</v>
      </c>
      <c r="J7" s="401">
        <f ca="1">+Borrowings!C7/'Aggregate Resources'!C7*100</f>
        <v>25.119553756674939</v>
      </c>
      <c r="K7" s="401">
        <f ca="1">+Borrowings!D7/'Aggregate Resources'!D7*100</f>
        <v>11.792583137258639</v>
      </c>
      <c r="L7" s="401">
        <f ca="1">+Borrowings!E7/'Aggregate Resources'!E7*100</f>
        <v>17.340625840581005</v>
      </c>
      <c r="M7" s="401">
        <f ca="1">+Borrowings!F7/'Aggregate Resources'!F7*100</f>
        <v>7.7683400718226343</v>
      </c>
      <c r="N7" s="401">
        <f ca="1">+Borrowings!G7/'Aggregate Resources'!G7*100</f>
        <v>16.29574944759737</v>
      </c>
      <c r="O7" s="401">
        <f ca="1">+Borrowings!H7/'Aggregate Resources'!H7*100</f>
        <v>16.675764476817971</v>
      </c>
      <c r="P7" s="401">
        <f ca="1">+Borrowings!I7/'Aggregate Resources'!I7*100</f>
        <v>16.621621621621621</v>
      </c>
    </row>
    <row r="8" spans="1:16" ht="15.75">
      <c r="A8" s="424">
        <v>2</v>
      </c>
      <c r="B8" s="425" t="s">
        <v>13</v>
      </c>
      <c r="C8" s="401">
        <f ca="1">+Borrowings!C8/'Aggregate As% of GSDP'!K7*100</f>
        <v>0.33261579154707649</v>
      </c>
      <c r="D8" s="401">
        <f ca="1">+Borrowings!D8/'Aggregate As% of GSDP'!L7*100</f>
        <v>2.2819892937316526</v>
      </c>
      <c r="E8" s="401">
        <f ca="1">+Borrowings!E8/'Aggregate As% of GSDP'!M7*100</f>
        <v>3.3927585308674133</v>
      </c>
      <c r="F8" s="401">
        <f ca="1">+Borrowings!F8/'Aggregate As% of GSDP'!N7*100</f>
        <v>3.6438928723555315</v>
      </c>
      <c r="G8" s="401">
        <f ca="1">+Borrowings!G8/'Aggregate As% of GSDP'!O7*100</f>
        <v>2.1766412335081862</v>
      </c>
      <c r="H8" s="401">
        <f ca="1">+Borrowings!H8/'Aggregate As% of GSDP'!P7*100</f>
        <v>2.8951285473199593</v>
      </c>
      <c r="I8" s="401">
        <f ca="1">+Borrowings!I8/'Aggregate As% of GSDP'!Q7*100</f>
        <v>3.2517952438334601</v>
      </c>
      <c r="J8" s="401">
        <f ca="1">+Borrowings!C8/'Aggregate Resources'!C8*100</f>
        <v>5.2655258509901444</v>
      </c>
      <c r="K8" s="401">
        <f ca="1">+Borrowings!D8/'Aggregate Resources'!D8*100</f>
        <v>26.193139184233999</v>
      </c>
      <c r="L8" s="401">
        <f ca="1">+Borrowings!E8/'Aggregate Resources'!E8*100</f>
        <v>52.034344393148388</v>
      </c>
      <c r="M8" s="401">
        <f ca="1">+Borrowings!F8/'Aggregate Resources'!F8*100</f>
        <v>53.711314584695877</v>
      </c>
      <c r="N8" s="401">
        <f ca="1">+Borrowings!G8/'Aggregate Resources'!G8*100</f>
        <v>30.543234963146038</v>
      </c>
      <c r="O8" s="401">
        <f ca="1">+Borrowings!H8/'Aggregate Resources'!H8*100</f>
        <v>39.048666666666662</v>
      </c>
      <c r="P8" s="401">
        <f ca="1">+Borrowings!I8/'Aggregate Resources'!I8*100</f>
        <v>42.31288</v>
      </c>
    </row>
    <row r="9" spans="1:16" ht="15.75">
      <c r="A9" s="424">
        <v>3</v>
      </c>
      <c r="B9" s="425" t="s">
        <v>14</v>
      </c>
      <c r="C9" s="401">
        <f ca="1">+Borrowings!C9/'Aggregate As% of GSDP'!K8*100</f>
        <v>4.1609692901098265</v>
      </c>
      <c r="D9" s="401">
        <f ca="1">+Borrowings!D9/'Aggregate As% of GSDP'!L8*100</f>
        <v>4.546729985777306</v>
      </c>
      <c r="E9" s="401">
        <f ca="1">+Borrowings!E9/'Aggregate As% of GSDP'!M8*100</f>
        <v>4.0481645188736017</v>
      </c>
      <c r="F9" s="401">
        <f ca="1">+Borrowings!F9/'Aggregate As% of GSDP'!N8*100</f>
        <v>2.8044802617837501</v>
      </c>
      <c r="G9" s="401">
        <f ca="1">+Borrowings!G9/'Aggregate As% of GSDP'!O8*100</f>
        <v>6.2752128331049777</v>
      </c>
      <c r="H9" s="401">
        <f ca="1">+Borrowings!H9/'Aggregate As% of GSDP'!P8*100</f>
        <v>6.7145706145706159</v>
      </c>
      <c r="I9" s="401">
        <f ca="1">+Borrowings!I9/'Aggregate As% of GSDP'!Q8*100</f>
        <v>6.4327056971605012</v>
      </c>
      <c r="J9" s="401">
        <f ca="1">+Borrowings!C9/'Aggregate Resources'!C9*100</f>
        <v>51.115861510192865</v>
      </c>
      <c r="K9" s="401">
        <f ca="1">+Borrowings!D9/'Aggregate Resources'!D9*100</f>
        <v>95.276390032480819</v>
      </c>
      <c r="L9" s="401">
        <f ca="1">+Borrowings!E9/'Aggregate Resources'!E9*100</f>
        <v>87.56486219588831</v>
      </c>
      <c r="M9" s="401">
        <f ca="1">+Borrowings!F9/'Aggregate Resources'!F9*100</f>
        <v>53.049499213096183</v>
      </c>
      <c r="N9" s="401">
        <f ca="1">+Borrowings!G9/'Aggregate Resources'!G9*100</f>
        <v>124.37722745691548</v>
      </c>
      <c r="O9" s="401">
        <f ca="1">+Borrowings!H9/'Aggregate Resources'!H9*100</f>
        <v>122.74617759755964</v>
      </c>
      <c r="P9" s="401">
        <f ca="1">+Borrowings!I9/'Aggregate Resources'!I9*100</f>
        <v>129.57195121951216</v>
      </c>
    </row>
    <row r="10" spans="1:16" ht="15.75">
      <c r="A10" s="424">
        <v>4</v>
      </c>
      <c r="B10" s="425" t="s">
        <v>228</v>
      </c>
      <c r="C10" s="401">
        <f ca="1">+Borrowings!C10/'Aggregate As% of GSDP'!K9*100</f>
        <v>6.955200948812637</v>
      </c>
      <c r="D10" s="401">
        <f ca="1">+Borrowings!D10/'Aggregate As% of GSDP'!L9*100</f>
        <v>7.2424908424908425</v>
      </c>
      <c r="E10" s="401">
        <f ca="1">+Borrowings!E10/'Aggregate As% of GSDP'!M9*100</f>
        <v>4.4225483104267864</v>
      </c>
      <c r="F10" s="401">
        <f ca="1">+Borrowings!F10/'Aggregate As% of GSDP'!N9*100</f>
        <v>6.1302154185249602</v>
      </c>
      <c r="G10" s="401">
        <f ca="1">+Borrowings!G10/'Aggregate As% of GSDP'!O9*100</f>
        <v>-11.295989902522848</v>
      </c>
      <c r="H10" s="401">
        <f ca="1">+Borrowings!H10/'Aggregate As% of GSDP'!P9*100</f>
        <v>-9.2637547304628569</v>
      </c>
      <c r="I10" s="401">
        <f ca="1">+Borrowings!I10/'Aggregate As% of GSDP'!Q9*100</f>
        <v>5.7282149360391204</v>
      </c>
      <c r="J10" s="401">
        <f ca="1">+Borrowings!C10/'Aggregate Resources'!C10*100</f>
        <v>61.960402934361106</v>
      </c>
      <c r="K10" s="401">
        <f ca="1">+Borrowings!D10/'Aggregate Resources'!D10*100</f>
        <v>61.217901980563902</v>
      </c>
      <c r="L10" s="401">
        <f ca="1">+Borrowings!E10/'Aggregate Resources'!E10*100</f>
        <v>31.993403514437663</v>
      </c>
      <c r="M10" s="401">
        <f ca="1">+Borrowings!F10/'Aggregate Resources'!F10*100</f>
        <v>61.71929854976986</v>
      </c>
      <c r="N10" s="401">
        <f ca="1">+Borrowings!G10/'Aggregate Resources'!G10*100</f>
        <v>-112.41014760761855</v>
      </c>
      <c r="O10" s="401">
        <f ca="1">+Borrowings!H10/'Aggregate Resources'!H10*100</f>
        <v>-102.04096802779785</v>
      </c>
      <c r="P10" s="401">
        <f ca="1">+Borrowings!I10/'Aggregate Resources'!I10*100</f>
        <v>68.51808219178082</v>
      </c>
    </row>
    <row r="11" spans="1:16" ht="15.75">
      <c r="A11" s="424">
        <v>5</v>
      </c>
      <c r="B11" s="425" t="s">
        <v>16</v>
      </c>
      <c r="C11" s="401">
        <f ca="1">+Borrowings!C11/'Aggregate As% of GSDP'!K10*100</f>
        <v>3.7188559634380067</v>
      </c>
      <c r="D11" s="401">
        <f ca="1">+Borrowings!D11/'Aggregate As% of GSDP'!L10*100</f>
        <v>3.4810109474253288</v>
      </c>
      <c r="E11" s="401">
        <f ca="1">+Borrowings!E11/'Aggregate As% of GSDP'!M10*100</f>
        <v>5.1669493578870851</v>
      </c>
      <c r="F11" s="401">
        <f ca="1">+Borrowings!F11/'Aggregate As% of GSDP'!N10*100</f>
        <v>2.4651417314216917</v>
      </c>
      <c r="G11" s="401">
        <f ca="1">+Borrowings!G11/'Aggregate As% of GSDP'!O10*100</f>
        <v>5.232863670982483</v>
      </c>
      <c r="H11" s="401">
        <f ca="1">+Borrowings!H11/'Aggregate As% of GSDP'!P10*100</f>
        <v>5.8022198113994827</v>
      </c>
      <c r="I11" s="401">
        <f ca="1">+Borrowings!I11/'Aggregate As% of GSDP'!Q10*100</f>
        <v>5.008290892318767</v>
      </c>
      <c r="J11" s="401">
        <f ca="1">+Borrowings!C11/'Aggregate Resources'!C11*100</f>
        <v>19.346698981470123</v>
      </c>
      <c r="K11" s="401">
        <f ca="1">+Borrowings!D11/'Aggregate Resources'!D11*100</f>
        <v>16.076299380192349</v>
      </c>
      <c r="L11" s="401">
        <f ca="1">+Borrowings!E11/'Aggregate Resources'!E11*100</f>
        <v>23.012421354801784</v>
      </c>
      <c r="M11" s="401">
        <f ca="1">+Borrowings!F11/'Aggregate Resources'!F11*100</f>
        <v>7.9464591263975271</v>
      </c>
      <c r="N11" s="401">
        <f ca="1">+Borrowings!G11/'Aggregate Resources'!G11*100</f>
        <v>33.775969816329415</v>
      </c>
      <c r="O11" s="401">
        <f ca="1">+Borrowings!H11/'Aggregate Resources'!H11*100</f>
        <v>28.712069905350269</v>
      </c>
      <c r="P11" s="401">
        <f ca="1">+Borrowings!I11/'Aggregate Resources'!I11*100</f>
        <v>18.43205479452055</v>
      </c>
    </row>
    <row r="12" spans="1:16" ht="15.75">
      <c r="A12" s="424">
        <v>6</v>
      </c>
      <c r="B12" s="425" t="s">
        <v>17</v>
      </c>
      <c r="C12" s="401">
        <f ca="1">+Borrowings!C12/'Aggregate As% of GSDP'!K11*100</f>
        <v>1.9445300462249615</v>
      </c>
      <c r="D12" s="401">
        <f ca="1">+Borrowings!D12/'Aggregate As% of GSDP'!L11*100</f>
        <v>1.7324610484634584</v>
      </c>
      <c r="E12" s="401">
        <f ca="1">+Borrowings!E12/'Aggregate As% of GSDP'!M11*100</f>
        <v>2.5615705405618066</v>
      </c>
      <c r="F12" s="401">
        <f ca="1">+Borrowings!F12/'Aggregate As% of GSDP'!N11*100</f>
        <v>2.0262634574504559</v>
      </c>
      <c r="G12" s="401">
        <f ca="1">+Borrowings!G12/'Aggregate As% of GSDP'!O11*100</f>
        <v>3.9381550085303441</v>
      </c>
      <c r="H12" s="401">
        <f ca="1">+Borrowings!H12/'Aggregate As% of GSDP'!P11*100</f>
        <v>4.3835125448028682</v>
      </c>
      <c r="I12" s="401">
        <f ca="1">+Borrowings!I12/'Aggregate As% of GSDP'!Q11*100</f>
        <v>4.0766051518646673</v>
      </c>
      <c r="J12" s="401">
        <f ca="1">+Borrowings!C12/'Aggregate Resources'!C12*100</f>
        <v>21.991937451351699</v>
      </c>
      <c r="K12" s="401">
        <f ca="1">+Borrowings!D12/'Aggregate Resources'!D12*100</f>
        <v>15.611473960191747</v>
      </c>
      <c r="L12" s="401">
        <f ca="1">+Borrowings!E12/'Aggregate Resources'!E12*100</f>
        <v>29.150772757391792</v>
      </c>
      <c r="M12" s="401">
        <f ca="1">+Borrowings!F12/'Aggregate Resources'!F12*100</f>
        <v>24.732784813305098</v>
      </c>
      <c r="N12" s="401">
        <f ca="1">+Borrowings!G12/'Aggregate Resources'!G12*100</f>
        <v>20.879596576977622</v>
      </c>
      <c r="O12" s="401">
        <f ca="1">+Borrowings!H12/'Aggregate Resources'!H12*100</f>
        <v>25.833969744731327</v>
      </c>
      <c r="P12" s="401">
        <f ca="1">+Borrowings!I12/'Aggregate Resources'!I12*100</f>
        <v>20.435075885328835</v>
      </c>
    </row>
    <row r="13" spans="1:16" ht="15.75">
      <c r="A13" s="424">
        <v>7</v>
      </c>
      <c r="B13" s="425" t="s">
        <v>18</v>
      </c>
      <c r="C13" s="401">
        <f ca="1">+Borrowings!C13/'Aggregate As% of GSDP'!K12*100</f>
        <v>7.0746855345911968</v>
      </c>
      <c r="D13" s="401">
        <f ca="1">+Borrowings!D13/'Aggregate As% of GSDP'!L12*100</f>
        <v>5.5914354380598645</v>
      </c>
      <c r="E13" s="401">
        <f ca="1">+Borrowings!E13/'Aggregate As% of GSDP'!M12*100</f>
        <v>3.8300380228136888</v>
      </c>
      <c r="F13" s="401">
        <f ca="1">+Borrowings!F13/'Aggregate As% of GSDP'!N12*100</f>
        <v>7.6077019411396369</v>
      </c>
      <c r="G13" s="401">
        <f ca="1">+Borrowings!G13/'Aggregate As% of GSDP'!O12*100</f>
        <v>10.808557932759101</v>
      </c>
      <c r="H13" s="401">
        <f ca="1">+Borrowings!H13/'Aggregate As% of GSDP'!P12*100</f>
        <v>9.6220042220290587</v>
      </c>
      <c r="I13" s="401">
        <f ca="1">+Borrowings!I13/'Aggregate As% of GSDP'!Q12*100</f>
        <v>7.5320667996659552</v>
      </c>
      <c r="J13" s="401">
        <f ca="1">+Borrowings!C13/'Aggregate Resources'!C13*100</f>
        <v>25.904602895880714</v>
      </c>
      <c r="K13" s="401">
        <f ca="1">+Borrowings!D13/'Aggregate Resources'!D13*100</f>
        <v>30.120992420319197</v>
      </c>
      <c r="L13" s="401">
        <f ca="1">+Borrowings!E13/'Aggregate Resources'!E13*100</f>
        <v>21.613097026133978</v>
      </c>
      <c r="M13" s="401">
        <f ca="1">+Borrowings!F13/'Aggregate Resources'!F13*100</f>
        <v>38.439877873222287</v>
      </c>
      <c r="N13" s="401">
        <f ca="1">+Borrowings!G13/'Aggregate Resources'!G13*100</f>
        <v>50.189986517085885</v>
      </c>
      <c r="O13" s="401">
        <f ca="1">+Borrowings!H13/'Aggregate Resources'!H13*100</f>
        <v>33.431993510864125</v>
      </c>
      <c r="P13" s="401">
        <f ca="1">+Borrowings!I13/'Aggregate Resources'!I13*100</f>
        <v>28.218399999999999</v>
      </c>
    </row>
    <row r="14" spans="1:16" ht="15.75">
      <c r="A14" s="424">
        <v>8</v>
      </c>
      <c r="B14" s="425" t="s">
        <v>19</v>
      </c>
      <c r="C14" s="401">
        <f ca="1">+Borrowings!C14/'Aggregate As% of GSDP'!K13*100</f>
        <v>4.440371517027863</v>
      </c>
      <c r="D14" s="401">
        <f ca="1">+Borrowings!D14/'Aggregate As% of GSDP'!L13*100</f>
        <v>5.2201144552776597</v>
      </c>
      <c r="E14" s="401">
        <f ca="1">+Borrowings!E14/'Aggregate As% of GSDP'!M13*100</f>
        <v>4.8887622304550193</v>
      </c>
      <c r="F14" s="401">
        <f ca="1">+Borrowings!F14/'Aggregate As% of GSDP'!N13*100</f>
        <v>2.0322306318564505</v>
      </c>
      <c r="G14" s="401">
        <f ca="1">+Borrowings!G14/'Aggregate As% of GSDP'!O13*100</f>
        <v>4.9816708323865786</v>
      </c>
      <c r="H14" s="401">
        <f ca="1">+Borrowings!H14/'Aggregate As% of GSDP'!P13*100</f>
        <v>5.2417745415318233</v>
      </c>
      <c r="I14" s="401">
        <f ca="1">+Borrowings!I14/'Aggregate As% of GSDP'!Q13*100</f>
        <v>4.1185502335801782</v>
      </c>
      <c r="J14" s="401">
        <f ca="1">+Borrowings!C14/'Aggregate Resources'!C14*100</f>
        <v>42.496503662265624</v>
      </c>
      <c r="K14" s="401">
        <f ca="1">+Borrowings!D14/'Aggregate Resources'!D14*100</f>
        <v>47.49768572089792</v>
      </c>
      <c r="L14" s="401">
        <f ca="1">+Borrowings!E14/'Aggregate Resources'!E14*100</f>
        <v>49.983974514622034</v>
      </c>
      <c r="M14" s="401">
        <f ca="1">+Borrowings!F14/'Aggregate Resources'!F14*100</f>
        <v>15.689299736071542</v>
      </c>
      <c r="N14" s="401">
        <f ca="1">+Borrowings!G14/'Aggregate Resources'!G14*100</f>
        <v>51.152571899643803</v>
      </c>
      <c r="O14" s="401">
        <f ca="1">+Borrowings!H14/'Aggregate Resources'!H14*100</f>
        <v>49.170229451794881</v>
      </c>
      <c r="P14" s="401">
        <f ca="1">+Borrowings!I14/'Aggregate Resources'!I14*100</f>
        <v>34.396499999999996</v>
      </c>
    </row>
    <row r="15" spans="1:16" ht="15.75">
      <c r="A15" s="424">
        <v>9</v>
      </c>
      <c r="B15" s="425" t="s">
        <v>20</v>
      </c>
      <c r="C15" s="401">
        <f ca="1">+Borrowings!C15/'Aggregate As% of GSDP'!K14*100</f>
        <v>9.4856344772545889</v>
      </c>
      <c r="D15" s="401">
        <f ca="1">+Borrowings!D15/'Aggregate As% of GSDP'!L14*100</f>
        <v>8.9244348095385568</v>
      </c>
      <c r="E15" s="401">
        <f ca="1">+Borrowings!E15/'Aggregate As% of GSDP'!M14*100</f>
        <v>6.347953693135497</v>
      </c>
      <c r="F15" s="401">
        <f ca="1">+Borrowings!F15/'Aggregate As% of GSDP'!N14*100</f>
        <v>1.5790609821910415</v>
      </c>
      <c r="G15" s="401">
        <f ca="1">+Borrowings!G15/'Aggregate As% of GSDP'!O14*100</f>
        <v>3.2342154131847725</v>
      </c>
      <c r="H15" s="401">
        <f ca="1">+Borrowings!H15/'Aggregate As% of GSDP'!P14*100</f>
        <v>4.5471527568544747</v>
      </c>
      <c r="I15" s="401">
        <f ca="1">+Borrowings!I15/'Aggregate As% of GSDP'!Q14*100</f>
        <v>4.4387278341824139</v>
      </c>
      <c r="J15" s="401">
        <f ca="1">+Borrowings!C15/'Aggregate Resources'!C15*100</f>
        <v>30.853797829811526</v>
      </c>
      <c r="K15" s="401">
        <f ca="1">+Borrowings!D15/'Aggregate Resources'!D15*100</f>
        <v>30.916542393974826</v>
      </c>
      <c r="L15" s="401">
        <f ca="1">+Borrowings!E15/'Aggregate Resources'!E15*100</f>
        <v>33.433809953196786</v>
      </c>
      <c r="M15" s="401">
        <f ca="1">+Borrowings!F15/'Aggregate Resources'!F15*100</f>
        <v>17.374007273806875</v>
      </c>
      <c r="N15" s="401">
        <f ca="1">+Borrowings!G15/'Aggregate Resources'!G15*100</f>
        <v>18.602136181575435</v>
      </c>
      <c r="O15" s="401">
        <f ca="1">+Borrowings!H15/'Aggregate Resources'!H15*100</f>
        <v>24.442596931448872</v>
      </c>
      <c r="P15" s="401">
        <f ca="1">+Borrowings!I15/'Aggregate Resources'!I15*100</f>
        <v>28.575728155339803</v>
      </c>
    </row>
    <row r="16" spans="1:16" ht="15.75">
      <c r="A16" s="424">
        <v>10</v>
      </c>
      <c r="B16" s="425" t="s">
        <v>21</v>
      </c>
      <c r="C16" s="401">
        <f ca="1">+Borrowings!C16/'Aggregate As% of GSDP'!K15*100</f>
        <v>7.2052216665253873E-3</v>
      </c>
      <c r="D16" s="401">
        <f ca="1">+Borrowings!D16/'Aggregate As% of GSDP'!L15*100</f>
        <v>0.4826493774405069</v>
      </c>
      <c r="E16" s="401">
        <f ca="1">+Borrowings!E16/'Aggregate As% of GSDP'!M15*100</f>
        <v>4.0187625787184311</v>
      </c>
      <c r="F16" s="401">
        <f ca="1">+Borrowings!F16/'Aggregate As% of GSDP'!N15*100</f>
        <v>3.0986120438773224</v>
      </c>
      <c r="G16" s="401">
        <f ca="1">+Borrowings!G16/'Aggregate As% of GSDP'!O15*100</f>
        <v>4.2199980936040413</v>
      </c>
      <c r="H16" s="401">
        <f ca="1">+Borrowings!H16/'Aggregate As% of GSDP'!P15*100</f>
        <v>5.3418570530287157</v>
      </c>
      <c r="I16" s="401">
        <f ca="1">+Borrowings!I16/'Aggregate As% of GSDP'!Q15*100</f>
        <v>5.5897619881783971</v>
      </c>
      <c r="J16" s="401">
        <f ca="1">+Borrowings!C16/'Aggregate Resources'!C16*100</f>
        <v>7.1009674023825825E-2</v>
      </c>
      <c r="K16" s="401">
        <f ca="1">+Borrowings!D16/'Aggregate Resources'!D16*100</f>
        <v>3.5847962176596768</v>
      </c>
      <c r="L16" s="401">
        <f ca="1">+Borrowings!E16/'Aggregate Resources'!E16*100</f>
        <v>37.419374338824241</v>
      </c>
      <c r="M16" s="401">
        <f ca="1">+Borrowings!F16/'Aggregate Resources'!F16*100</f>
        <v>29.766666666666662</v>
      </c>
      <c r="N16" s="401">
        <f ca="1">+Borrowings!G16/'Aggregate Resources'!G16*100</f>
        <v>44.917463957062999</v>
      </c>
      <c r="O16" s="401">
        <f ca="1">+Borrowings!H16/'Aggregate Resources'!H16*100</f>
        <v>59.374155491981242</v>
      </c>
      <c r="P16" s="401">
        <f ca="1">+Borrowings!I16/'Aggregate Resources'!I16*100</f>
        <v>61.486000000000004</v>
      </c>
    </row>
    <row r="17" spans="1:16" ht="15.75">
      <c r="A17" s="424">
        <v>11</v>
      </c>
      <c r="B17" s="425" t="s">
        <v>22</v>
      </c>
      <c r="C17" s="401">
        <f ca="1">+Borrowings!C17/'Aggregate As% of GSDP'!K16*100</f>
        <v>2.4055957780879265</v>
      </c>
      <c r="D17" s="401">
        <f ca="1">+Borrowings!D17/'Aggregate As% of GSDP'!L16*100</f>
        <v>2.5427576974564925</v>
      </c>
      <c r="E17" s="401">
        <f ca="1">+Borrowings!E17/'Aggregate As% of GSDP'!M16*100</f>
        <v>2.434257033790471</v>
      </c>
      <c r="F17" s="401">
        <f ca="1">+Borrowings!F17/'Aggregate As% of GSDP'!N16*100</f>
        <v>2.065047815265157</v>
      </c>
      <c r="G17" s="401">
        <f ca="1">+Borrowings!G17/'Aggregate As% of GSDP'!O16*100</f>
        <v>2.9453611202096299</v>
      </c>
      <c r="H17" s="401">
        <f ca="1">+Borrowings!H17/'Aggregate As% of GSDP'!P16*100</f>
        <v>4.2790589515435506</v>
      </c>
      <c r="I17" s="401">
        <f ca="1">+Borrowings!I17/'Aggregate As% of GSDP'!Q16*100</f>
        <v>3.6982153735081105</v>
      </c>
      <c r="J17" s="401">
        <f ca="1">+Borrowings!C17/'Aggregate Resources'!C17*100</f>
        <v>22.892226386832419</v>
      </c>
      <c r="K17" s="401">
        <f ca="1">+Borrowings!D17/'Aggregate Resources'!D17*100</f>
        <v>34.792603746447341</v>
      </c>
      <c r="L17" s="401">
        <f ca="1">+Borrowings!E17/'Aggregate Resources'!E17*100</f>
        <v>36.291468285251035</v>
      </c>
      <c r="M17" s="401">
        <f ca="1">+Borrowings!F17/'Aggregate Resources'!F17*100</f>
        <v>27.060572891991519</v>
      </c>
      <c r="N17" s="401">
        <f ca="1">+Borrowings!G17/'Aggregate Resources'!G17*100</f>
        <v>51.797196201118936</v>
      </c>
      <c r="O17" s="401">
        <f ca="1">+Borrowings!H17/'Aggregate Resources'!H17*100</f>
        <v>80.602361046371328</v>
      </c>
      <c r="P17" s="401">
        <f ca="1">+Borrowings!I17/'Aggregate Resources'!I17*100</f>
        <v>57.852705882352936</v>
      </c>
    </row>
    <row r="18" spans="1:16" s="300" customFormat="1">
      <c r="A18" s="421"/>
      <c r="B18" s="422" t="s">
        <v>229</v>
      </c>
      <c r="C18" s="403">
        <f ca="1">+Borrowings!C18/'Aggregate As% of GSDP'!K17*100</f>
        <v>2.9768380916795465</v>
      </c>
      <c r="D18" s="403">
        <f ca="1">+Borrowings!D18/'Aggregate As% of GSDP'!L17*100</f>
        <v>3.6300634914892465</v>
      </c>
      <c r="E18" s="403">
        <f ca="1">+Borrowings!E18/'Aggregate As% of GSDP'!M17*100</f>
        <v>3.6203884645893041</v>
      </c>
      <c r="F18" s="403">
        <f ca="1">+Borrowings!F18/'Aggregate As% of GSDP'!N17*100</f>
        <v>3.3697024787429641</v>
      </c>
      <c r="G18" s="403">
        <f ca="1">+Borrowings!G18/'Aggregate As% of GSDP'!O17*100</f>
        <v>1.4437258639189077</v>
      </c>
      <c r="H18" s="403">
        <f ca="1">+Borrowings!H18/'Aggregate As% of GSDP'!P17*100</f>
        <v>2.4165818063437809</v>
      </c>
      <c r="I18" s="403">
        <f ca="1">+Borrowings!I18/'Aggregate As% of GSDP'!Q17*100</f>
        <v>4.5132846260228341</v>
      </c>
      <c r="J18" s="403">
        <f ca="1">+Borrowings!C18/'Aggregate Resources'!C18*100</f>
        <v>29.550014257752089</v>
      </c>
      <c r="K18" s="403">
        <f ca="1">+Borrowings!D18/'Aggregate Resources'!D18*100</f>
        <v>36.118860129360854</v>
      </c>
      <c r="L18" s="403">
        <f ca="1">+Borrowings!E18/'Aggregate Resources'!E18*100</f>
        <v>39.991213843212414</v>
      </c>
      <c r="M18" s="403">
        <f ca="1">+Borrowings!F18/'Aggregate Resources'!F18*100</f>
        <v>38.213976835829101</v>
      </c>
      <c r="N18" s="403">
        <f ca="1">+Borrowings!G18/'Aggregate Resources'!G18*100</f>
        <v>17.059672704347136</v>
      </c>
      <c r="O18" s="403">
        <f ca="1">+Borrowings!H18/'Aggregate Resources'!H18*100</f>
        <v>27.848369688669429</v>
      </c>
      <c r="P18" s="403">
        <f ca="1">+Borrowings!I18/'Aggregate Resources'!I18*100</f>
        <v>49.425218557051409</v>
      </c>
    </row>
    <row r="19" spans="1:16" ht="15.75">
      <c r="A19" s="421" t="s">
        <v>230</v>
      </c>
      <c r="B19" s="422" t="s">
        <v>310</v>
      </c>
      <c r="C19" s="401"/>
      <c r="D19" s="401"/>
      <c r="E19" s="401"/>
      <c r="F19" s="401"/>
      <c r="G19" s="401"/>
      <c r="H19" s="401"/>
      <c r="I19" s="401"/>
      <c r="J19" s="401"/>
      <c r="K19" s="401"/>
      <c r="L19" s="401"/>
      <c r="M19" s="401"/>
      <c r="N19" s="401"/>
      <c r="O19" s="401"/>
      <c r="P19" s="401"/>
    </row>
    <row r="20" spans="1:16" ht="15.75">
      <c r="A20" s="424">
        <v>1</v>
      </c>
      <c r="B20" s="425" t="s">
        <v>25</v>
      </c>
      <c r="C20" s="401">
        <f ca="1">+Borrowings!C20/'Aggregate As% of GSDP'!K19*100</f>
        <v>1.9153045532916864</v>
      </c>
      <c r="D20" s="401">
        <f ca="1">+Borrowings!D20/'Aggregate As% of GSDP'!L19*100</f>
        <v>2.5842770611460644</v>
      </c>
      <c r="E20" s="401">
        <f ca="1">+Borrowings!E20/'Aggregate As% of GSDP'!M19*100</f>
        <v>3.0187528180607548</v>
      </c>
      <c r="F20" s="401">
        <f ca="1">+Borrowings!F20/'Aggregate As% of GSDP'!N19*100</f>
        <v>2.124831695108623</v>
      </c>
      <c r="G20" s="401">
        <f ca="1">+Borrowings!G20/'Aggregate As% of GSDP'!O19*100</f>
        <v>2.7051337776489905</v>
      </c>
      <c r="H20" s="401">
        <f ca="1">+Borrowings!H20/'Aggregate As% of GSDP'!P19*100</f>
        <v>4.0133389182790769</v>
      </c>
      <c r="I20" s="401">
        <f ca="1">+Borrowings!I20/'Aggregate As% of GSDP'!Q19*100</f>
        <v>4.0234859406273182</v>
      </c>
      <c r="J20" s="401">
        <f ca="1">+Borrowings!C20/'Aggregate Resources'!C20*100</f>
        <v>25.709191283877409</v>
      </c>
      <c r="K20" s="401">
        <f ca="1">+Borrowings!D20/'Aggregate Resources'!D20*100</f>
        <v>36.006626207276618</v>
      </c>
      <c r="L20" s="401">
        <f ca="1">+Borrowings!E20/'Aggregate Resources'!E20*100</f>
        <v>48.952040877054266</v>
      </c>
      <c r="M20" s="401">
        <f ca="1">+Borrowings!F20/'Aggregate Resources'!F20*100</f>
        <v>39.261847040997488</v>
      </c>
      <c r="N20" s="401">
        <f ca="1">+Borrowings!G20/'Aggregate Resources'!G20*100</f>
        <v>41.68372093023256</v>
      </c>
      <c r="O20" s="401">
        <f ca="1">+Borrowings!H20/'Aggregate Resources'!H20*100</f>
        <v>68.634777942832983</v>
      </c>
      <c r="P20" s="401">
        <f ca="1">+Borrowings!I20/'Aggregate Resources'!I20*100</f>
        <v>65.08664150943396</v>
      </c>
    </row>
    <row r="21" spans="1:16" ht="15.75">
      <c r="A21" s="424">
        <v>2</v>
      </c>
      <c r="B21" s="425" t="s">
        <v>26</v>
      </c>
      <c r="C21" s="401">
        <f ca="1">+Borrowings!C21/'Aggregate As% of GSDP'!K20*100</f>
        <v>1.6309904996481348</v>
      </c>
      <c r="D21" s="401">
        <f ca="1">+Borrowings!D21/'Aggregate As% of GSDP'!L20*100</f>
        <v>3.1774049578644776</v>
      </c>
      <c r="E21" s="401">
        <f ca="1">+Borrowings!E21/'Aggregate As% of GSDP'!M20*100</f>
        <v>2.4188210453953989</v>
      </c>
      <c r="F21" s="401">
        <f ca="1">+Borrowings!F21/'Aggregate As% of GSDP'!N20*100</f>
        <v>2.036776331569492</v>
      </c>
      <c r="G21" s="401">
        <f ca="1">+Borrowings!G21/'Aggregate As% of GSDP'!O20*100</f>
        <v>1.9554702852198385</v>
      </c>
      <c r="H21" s="401">
        <f ca="1">+Borrowings!H21/'Aggregate As% of GSDP'!P20*100</f>
        <v>3.3119603815347376</v>
      </c>
      <c r="I21" s="401">
        <f ca="1">+Borrowings!I21/'Aggregate As% of GSDP'!Q20*100</f>
        <v>3.4063181271498655</v>
      </c>
      <c r="J21" s="401">
        <f ca="1">+Borrowings!C21/'Aggregate Resources'!C21*100</f>
        <v>17.766174979733961</v>
      </c>
      <c r="K21" s="401">
        <f ca="1">+Borrowings!D21/'Aggregate Resources'!D21*100</f>
        <v>33.015624942944669</v>
      </c>
      <c r="L21" s="401">
        <f ca="1">+Borrowings!E21/'Aggregate Resources'!E21*100</f>
        <v>24.04929420602679</v>
      </c>
      <c r="M21" s="401">
        <f ca="1">+Borrowings!F21/'Aggregate Resources'!F21*100</f>
        <v>21.545644770343113</v>
      </c>
      <c r="N21" s="401">
        <f ca="1">+Borrowings!G21/'Aggregate Resources'!G21*100</f>
        <v>20.150958333333335</v>
      </c>
      <c r="O21" s="401">
        <f ca="1">+Borrowings!H21/'Aggregate Resources'!H21*100</f>
        <v>41.26162435911781</v>
      </c>
      <c r="P21" s="401">
        <f ca="1">+Borrowings!I21/'Aggregate Resources'!I21*100</f>
        <v>36.902147058823523</v>
      </c>
    </row>
    <row r="22" spans="1:16" ht="15.75">
      <c r="A22" s="424">
        <v>3</v>
      </c>
      <c r="B22" s="425" t="s">
        <v>27</v>
      </c>
      <c r="C22" s="401">
        <f ca="1">+Borrowings!C22/'Aggregate As% of GSDP'!K21*100</f>
        <v>-0.30776898635599031</v>
      </c>
      <c r="D22" s="401">
        <f ca="1">+Borrowings!D22/'Aggregate As% of GSDP'!L21*100</f>
        <v>-6.6462484016004603E-2</v>
      </c>
      <c r="E22" s="401">
        <f ca="1">+Borrowings!E22/'Aggregate As% of GSDP'!M21*100</f>
        <v>0.9043516766635803</v>
      </c>
      <c r="F22" s="401">
        <f ca="1">+Borrowings!F22/'Aggregate As% of GSDP'!N21*100</f>
        <v>2.1965248702059958</v>
      </c>
      <c r="G22" s="401">
        <f ca="1">+Borrowings!G22/'Aggregate As% of GSDP'!O21*100</f>
        <v>0.94207959540008424</v>
      </c>
      <c r="H22" s="401">
        <f ca="1">+Borrowings!H22/'Aggregate As% of GSDP'!P21*100</f>
        <v>3.3627498844559014</v>
      </c>
      <c r="I22" s="401">
        <f ca="1">+Borrowings!I22/'Aggregate As% of GSDP'!Q21*100</f>
        <v>3.7185171714186671</v>
      </c>
      <c r="J22" s="401">
        <f ca="1">+Borrowings!C22/'Aggregate Resources'!C22*100</f>
        <v>-4.0838596607255031</v>
      </c>
      <c r="K22" s="401">
        <f ca="1">+Borrowings!D22/'Aggregate Resources'!D22*100</f>
        <v>-0.98341845103583159</v>
      </c>
      <c r="L22" s="401">
        <f ca="1">+Borrowings!E22/'Aggregate Resources'!E22*100</f>
        <v>9.4641576362565907</v>
      </c>
      <c r="M22" s="401">
        <f ca="1">+Borrowings!F22/'Aggregate Resources'!F22*100</f>
        <v>23.143203251759946</v>
      </c>
      <c r="N22" s="401">
        <f ca="1">+Borrowings!G22/'Aggregate Resources'!G22*100</f>
        <v>7.3643077929550298</v>
      </c>
      <c r="O22" s="401">
        <f ca="1">+Borrowings!H22/'Aggregate Resources'!H22*100</f>
        <v>25.973903866352721</v>
      </c>
      <c r="P22" s="401">
        <f ca="1">+Borrowings!I22/'Aggregate Resources'!I22*100</f>
        <v>25.913425742574258</v>
      </c>
    </row>
    <row r="23" spans="1:16" ht="15.75">
      <c r="A23" s="424">
        <v>4</v>
      </c>
      <c r="B23" s="425" t="s">
        <v>28</v>
      </c>
      <c r="C23" s="401">
        <f ca="1">+Borrowings!C23/'Aggregate As% of GSDP'!K22*100</f>
        <v>2.7909021211346792</v>
      </c>
      <c r="D23" s="401">
        <f ca="1">+Borrowings!D23/'Aggregate As% of GSDP'!L22*100</f>
        <v>2.7943653104588018</v>
      </c>
      <c r="E23" s="401">
        <f ca="1">+Borrowings!E23/'Aggregate As% of GSDP'!M22*100</f>
        <v>2.85964430405823</v>
      </c>
      <c r="F23" s="401">
        <f ca="1">+Borrowings!F23/'Aggregate As% of GSDP'!N22*100</f>
        <v>2.8829638446659729</v>
      </c>
      <c r="G23" s="401">
        <f ca="1">+Borrowings!G23/'Aggregate As% of GSDP'!O22*100</f>
        <v>2.8458015267175574</v>
      </c>
      <c r="H23" s="401">
        <f ca="1">+Borrowings!H23/'Aggregate As% of GSDP'!P22*100</f>
        <v>3.8815100815100818</v>
      </c>
      <c r="I23" s="401">
        <f ca="1">+Borrowings!I23/'Aggregate As% of GSDP'!Q22*100</f>
        <v>5.0569462511936658</v>
      </c>
      <c r="J23" s="401">
        <f ca="1">+Borrowings!C23/'Aggregate Resources'!C23*100</f>
        <v>43.162487747810509</v>
      </c>
      <c r="K23" s="401">
        <f ca="1">+Borrowings!D23/'Aggregate Resources'!D23*100</f>
        <v>43.733378940460369</v>
      </c>
      <c r="L23" s="401">
        <f ca="1">+Borrowings!E23/'Aggregate Resources'!E23*100</f>
        <v>37.361336018768156</v>
      </c>
      <c r="M23" s="401">
        <f ca="1">+Borrowings!F23/'Aggregate Resources'!F23*100</f>
        <v>39.658602480658246</v>
      </c>
      <c r="N23" s="401">
        <f ca="1">+Borrowings!G23/'Aggregate Resources'!G23*100</f>
        <v>42.999207291242875</v>
      </c>
      <c r="O23" s="401">
        <f ca="1">+Borrowings!H23/'Aggregate Resources'!H23*100</f>
        <v>42.982286675259942</v>
      </c>
      <c r="P23" s="401">
        <f ca="1">+Borrowings!I23/'Aggregate Resources'!I23*100</f>
        <v>42.152704135737018</v>
      </c>
    </row>
    <row r="24" spans="1:16" ht="15.75">
      <c r="A24" s="424">
        <v>5</v>
      </c>
      <c r="B24" s="425" t="s">
        <v>29</v>
      </c>
      <c r="C24" s="401">
        <f ca="1">+Borrowings!C24/'Aggregate As% of GSDP'!K23*100</f>
        <v>2.1384120139089235</v>
      </c>
      <c r="D24" s="401">
        <f ca="1">+Borrowings!D24/'Aggregate As% of GSDP'!L23*100</f>
        <v>2.1600681684750702</v>
      </c>
      <c r="E24" s="401">
        <f ca="1">+Borrowings!E24/'Aggregate As% of GSDP'!M23*100</f>
        <v>2.7080684131687933</v>
      </c>
      <c r="F24" s="401">
        <f ca="1">+Borrowings!F24/'Aggregate As% of GSDP'!N23*100</f>
        <v>2.7799255635940394</v>
      </c>
      <c r="G24" s="401">
        <f ca="1">+Borrowings!G24/'Aggregate As% of GSDP'!O23*100</f>
        <v>3.0429979665737692</v>
      </c>
      <c r="H24" s="401">
        <f ca="1">+Borrowings!H24/'Aggregate As% of GSDP'!P23*100</f>
        <v>3.4549130170025788</v>
      </c>
      <c r="I24" s="401">
        <f ca="1">+Borrowings!I24/'Aggregate As% of GSDP'!Q23*100</f>
        <v>3.3377637133602049</v>
      </c>
      <c r="J24" s="401">
        <f ca="1">+Borrowings!C24/'Aggregate Resources'!C24*100</f>
        <v>44.66486775869766</v>
      </c>
      <c r="K24" s="401">
        <f ca="1">+Borrowings!D24/'Aggregate Resources'!D24*100</f>
        <v>36.220843159006826</v>
      </c>
      <c r="L24" s="401">
        <f ca="1">+Borrowings!E24/'Aggregate Resources'!E24*100</f>
        <v>51.717217610176533</v>
      </c>
      <c r="M24" s="401">
        <f ca="1">+Borrowings!F24/'Aggregate Resources'!F24*100</f>
        <v>52.617340541168325</v>
      </c>
      <c r="N24" s="401">
        <f ca="1">+Borrowings!G24/'Aggregate Resources'!G24*100</f>
        <v>58.230154801591461</v>
      </c>
      <c r="O24" s="401">
        <f ca="1">+Borrowings!H24/'Aggregate Resources'!H24*100</f>
        <v>45.089927724736533</v>
      </c>
      <c r="P24" s="401">
        <f ca="1">+Borrowings!I24/'Aggregate Resources'!I24*100</f>
        <v>43.952898305084744</v>
      </c>
    </row>
    <row r="25" spans="1:16" ht="15.75">
      <c r="A25" s="424">
        <v>6</v>
      </c>
      <c r="B25" s="425" t="s">
        <v>30</v>
      </c>
      <c r="C25" s="401">
        <f ca="1">+Borrowings!C25/'Aggregate As% of GSDP'!K24*100</f>
        <v>0.37266154779809502</v>
      </c>
      <c r="D25" s="401">
        <f ca="1">+Borrowings!D25/'Aggregate As% of GSDP'!L24*100</f>
        <v>1.8237637106759734</v>
      </c>
      <c r="E25" s="401">
        <f ca="1">+Borrowings!E25/'Aggregate As% of GSDP'!M24*100</f>
        <v>2.6331842576028617</v>
      </c>
      <c r="F25" s="401">
        <f ca="1">+Borrowings!F25/'Aggregate As% of GSDP'!N24*100</f>
        <v>2.5589380748289661</v>
      </c>
      <c r="G25" s="401">
        <f ca="1">+Borrowings!G25/'Aggregate As% of GSDP'!O24*100</f>
        <v>2.7030159723671088</v>
      </c>
      <c r="H25" s="401">
        <f ca="1">+Borrowings!H25/'Aggregate As% of GSDP'!P24*100</f>
        <v>3.7339024093523889</v>
      </c>
      <c r="I25" s="401">
        <f ca="1">+Borrowings!I25/'Aggregate As% of GSDP'!Q24*100</f>
        <v>4.0578858419828254</v>
      </c>
      <c r="J25" s="401">
        <f ca="1">+Borrowings!C25/'Aggregate Resources'!C25*100</f>
        <v>5.2750803017853141</v>
      </c>
      <c r="K25" s="401">
        <f ca="1">+Borrowings!D25/'Aggregate Resources'!D25*100</f>
        <v>24.036158541296455</v>
      </c>
      <c r="L25" s="401">
        <f ca="1">+Borrowings!E25/'Aggregate Resources'!E25*100</f>
        <v>31.115618425426465</v>
      </c>
      <c r="M25" s="401">
        <f ca="1">+Borrowings!F25/'Aggregate Resources'!F25*100</f>
        <v>42.419337090722436</v>
      </c>
      <c r="N25" s="401">
        <f ca="1">+Borrowings!G25/'Aggregate Resources'!G25*100</f>
        <v>40.092071279596261</v>
      </c>
      <c r="O25" s="401">
        <f ca="1">+Borrowings!H25/'Aggregate Resources'!H25*100</f>
        <v>54.829645868078103</v>
      </c>
      <c r="P25" s="401">
        <f ca="1">+Borrowings!I25/'Aggregate Resources'!I25*100</f>
        <v>58.891807033096931</v>
      </c>
    </row>
    <row r="26" spans="1:16" ht="15.75">
      <c r="A26" s="424">
        <v>7</v>
      </c>
      <c r="B26" s="425" t="s">
        <v>31</v>
      </c>
      <c r="C26" s="401">
        <f ca="1">+Borrowings!C26/'Aggregate As% of GSDP'!K25*100</f>
        <v>1.5852531268612267</v>
      </c>
      <c r="D26" s="401">
        <f ca="1">+Borrowings!D26/'Aggregate As% of GSDP'!L25*100</f>
        <v>1.9806250996651251</v>
      </c>
      <c r="E26" s="401">
        <f ca="1">+Borrowings!E26/'Aggregate As% of GSDP'!M25*100</f>
        <v>2.4464276840818515</v>
      </c>
      <c r="F26" s="401">
        <f ca="1">+Borrowings!F26/'Aggregate As% of GSDP'!N25*100</f>
        <v>0.93739529073467354</v>
      </c>
      <c r="G26" s="401">
        <f ca="1">+Borrowings!G26/'Aggregate As% of GSDP'!O25*100</f>
        <v>2.2827000993807816</v>
      </c>
      <c r="H26" s="401">
        <f ca="1">+Borrowings!H26/'Aggregate As% of GSDP'!P25*100</f>
        <v>3.4756241053882917</v>
      </c>
      <c r="I26" s="401">
        <f ca="1">+Borrowings!I26/'Aggregate As% of GSDP'!Q25*100</f>
        <v>3.7941418967485521</v>
      </c>
      <c r="J26" s="401">
        <f ca="1">+Borrowings!C26/'Aggregate Resources'!C26*100</f>
        <v>24.090335590636975</v>
      </c>
      <c r="K26" s="401">
        <f ca="1">+Borrowings!D26/'Aggregate Resources'!D26*100</f>
        <v>26.079672682387638</v>
      </c>
      <c r="L26" s="401">
        <f ca="1">+Borrowings!E26/'Aggregate Resources'!E26*100</f>
        <v>36.486877074196009</v>
      </c>
      <c r="M26" s="401">
        <f ca="1">+Borrowings!F26/'Aggregate Resources'!F26*100</f>
        <v>13.994914576762326</v>
      </c>
      <c r="N26" s="401">
        <f ca="1">+Borrowings!G26/'Aggregate Resources'!G26*100</f>
        <v>32.203791980328297</v>
      </c>
      <c r="O26" s="401">
        <f ca="1">+Borrowings!H26/'Aggregate Resources'!H26*100</f>
        <v>35.15625766871166</v>
      </c>
      <c r="P26" s="401">
        <f ca="1">+Borrowings!I26/'Aggregate Resources'!I26*100</f>
        <v>42.731071428571425</v>
      </c>
    </row>
    <row r="27" spans="1:16" ht="15.75">
      <c r="A27" s="424">
        <v>8</v>
      </c>
      <c r="B27" s="425" t="s">
        <v>32</v>
      </c>
      <c r="C27" s="401">
        <f ca="1">+Borrowings!C27/'Aggregate As% of GSDP'!K26*100</f>
        <v>0.65092699156409706</v>
      </c>
      <c r="D27" s="401">
        <f ca="1">+Borrowings!D27/'Aggregate As% of GSDP'!L26*100</f>
        <v>2.574990289083245</v>
      </c>
      <c r="E27" s="401">
        <f ca="1">+Borrowings!E27/'Aggregate As% of GSDP'!M26*100</f>
        <v>2.1181484332072316</v>
      </c>
      <c r="F27" s="401">
        <f ca="1">+Borrowings!F27/'Aggregate As% of GSDP'!N26*100</f>
        <v>0.25255381545788563</v>
      </c>
      <c r="G27" s="401">
        <f ca="1">+Borrowings!G27/'Aggregate As% of GSDP'!O26*100</f>
        <v>2.7715921323878718</v>
      </c>
      <c r="H27" s="401">
        <f ca="1">+Borrowings!H27/'Aggregate As% of GSDP'!P26*100</f>
        <v>3.3527879779295402</v>
      </c>
      <c r="I27" s="401">
        <f ca="1">+Borrowings!I27/'Aggregate As% of GSDP'!Q26*100</f>
        <v>3.9743773692302775</v>
      </c>
      <c r="J27" s="401">
        <f ca="1">+Borrowings!C27/'Aggregate Resources'!C27*100</f>
        <v>10.314350518675178</v>
      </c>
      <c r="K27" s="401">
        <f ca="1">+Borrowings!D27/'Aggregate Resources'!D27*100</f>
        <v>34.703027119899865</v>
      </c>
      <c r="L27" s="401">
        <f ca="1">+Borrowings!E27/'Aggregate Resources'!E27*100</f>
        <v>26.524486992907327</v>
      </c>
      <c r="M27" s="401">
        <f ca="1">+Borrowings!F27/'Aggregate Resources'!F27*100</f>
        <v>3.3293694627356429</v>
      </c>
      <c r="N27" s="401">
        <f ca="1">+Borrowings!G27/'Aggregate Resources'!G27*100</f>
        <v>33.078465539661899</v>
      </c>
      <c r="O27" s="401">
        <f ca="1">+Borrowings!H27/'Aggregate Resources'!H27*100</f>
        <v>41.770651251936165</v>
      </c>
      <c r="P27" s="401">
        <f ca="1">+Borrowings!I27/'Aggregate Resources'!I27*100</f>
        <v>50.213382978723395</v>
      </c>
    </row>
    <row r="28" spans="1:16" ht="15.75">
      <c r="A28" s="424">
        <v>9</v>
      </c>
      <c r="B28" s="425" t="s">
        <v>33</v>
      </c>
      <c r="C28" s="401">
        <f ca="1">+Borrowings!C28/'Aggregate As% of GSDP'!K27*100</f>
        <v>2.9917266659434407</v>
      </c>
      <c r="D28" s="401">
        <f ca="1">+Borrowings!D28/'Aggregate As% of GSDP'!L27*100</f>
        <v>3.1947253961130864</v>
      </c>
      <c r="E28" s="401">
        <f ca="1">+Borrowings!E28/'Aggregate As% of GSDP'!M27*100</f>
        <v>2.4672778761977421</v>
      </c>
      <c r="F28" s="401">
        <f ca="1">+Borrowings!F28/'Aggregate As% of GSDP'!N27*100</f>
        <v>2.4891099543926027</v>
      </c>
      <c r="G28" s="401">
        <f ca="1">+Borrowings!G28/'Aggregate As% of GSDP'!O27*100</f>
        <v>3.1718673880989652</v>
      </c>
      <c r="H28" s="401">
        <f ca="1">+Borrowings!H28/'Aggregate As% of GSDP'!P27*100</f>
        <v>5.4336516496917033</v>
      </c>
      <c r="I28" s="401">
        <f ca="1">+Borrowings!I28/'Aggregate As% of GSDP'!Q27*100</f>
        <v>5.0704258813278438</v>
      </c>
      <c r="J28" s="401">
        <f ca="1">+Borrowings!C28/'Aggregate Resources'!C28*100</f>
        <v>90.100955908525734</v>
      </c>
      <c r="K28" s="401">
        <f ca="1">+Borrowings!D28/'Aggregate Resources'!D28*100</f>
        <v>96.843961160019404</v>
      </c>
      <c r="L28" s="401">
        <f ca="1">+Borrowings!E28/'Aggregate Resources'!E28*100</f>
        <v>67.019871581717922</v>
      </c>
      <c r="M28" s="401">
        <f ca="1">+Borrowings!F28/'Aggregate Resources'!F28*100</f>
        <v>71.038978603694986</v>
      </c>
      <c r="N28" s="401">
        <f ca="1">+Borrowings!G28/'Aggregate Resources'!G28*100</f>
        <v>81.318583415001314</v>
      </c>
      <c r="O28" s="401">
        <f ca="1">+Borrowings!H28/'Aggregate Resources'!H28*100</f>
        <v>135.43876047534616</v>
      </c>
      <c r="P28" s="401">
        <f ca="1">+Borrowings!I28/'Aggregate Resources'!I28*100</f>
        <v>119.62399999999998</v>
      </c>
    </row>
    <row r="29" spans="1:16" ht="15.75">
      <c r="A29" s="424">
        <v>10</v>
      </c>
      <c r="B29" s="425" t="s">
        <v>34</v>
      </c>
      <c r="C29" s="401">
        <f ca="1">+Borrowings!C29/'Aggregate As% of GSDP'!K28*100</f>
        <v>1.0881476848382763</v>
      </c>
      <c r="D29" s="401">
        <f ca="1">+Borrowings!D29/'Aggregate As% of GSDP'!L28*100</f>
        <v>2.4050771507938116</v>
      </c>
      <c r="E29" s="401">
        <f ca="1">+Borrowings!E29/'Aggregate As% of GSDP'!M28*100</f>
        <v>2.9058653436281898</v>
      </c>
      <c r="F29" s="401">
        <f ca="1">+Borrowings!F29/'Aggregate As% of GSDP'!N28*100</f>
        <v>2.076633661862747</v>
      </c>
      <c r="G29" s="401">
        <f ca="1">+Borrowings!G29/'Aggregate As% of GSDP'!O28*100</f>
        <v>2.5612185965925498</v>
      </c>
      <c r="H29" s="401">
        <f ca="1">+Borrowings!H29/'Aggregate As% of GSDP'!P28*100</f>
        <v>3.5647726448326171</v>
      </c>
      <c r="I29" s="401">
        <f ca="1">+Borrowings!I29/'Aggregate As% of GSDP'!Q28*100</f>
        <v>3.7325149700598805</v>
      </c>
      <c r="J29" s="401">
        <f ca="1">+Borrowings!C29/'Aggregate Resources'!C29*100</f>
        <v>16.291247787586009</v>
      </c>
      <c r="K29" s="401">
        <f ca="1">+Borrowings!D29/'Aggregate Resources'!D29*100</f>
        <v>39.708021377843174</v>
      </c>
      <c r="L29" s="401">
        <f ca="1">+Borrowings!E29/'Aggregate Resources'!E29*100</f>
        <v>45.412902002906428</v>
      </c>
      <c r="M29" s="401">
        <f ca="1">+Borrowings!F29/'Aggregate Resources'!F29*100</f>
        <v>28.80005602293992</v>
      </c>
      <c r="N29" s="401">
        <f ca="1">+Borrowings!G29/'Aggregate Resources'!G29*100</f>
        <v>28.713516616685858</v>
      </c>
      <c r="O29" s="401">
        <f ca="1">+Borrowings!H29/'Aggregate Resources'!H29*100</f>
        <v>46.491152451998687</v>
      </c>
      <c r="P29" s="401">
        <f ca="1">+Borrowings!I29/'Aggregate Resources'!I29*100</f>
        <v>47.408197183098594</v>
      </c>
    </row>
    <row r="30" spans="1:16" ht="15.75">
      <c r="A30" s="424">
        <v>11</v>
      </c>
      <c r="B30" s="425" t="s">
        <v>35</v>
      </c>
      <c r="C30" s="401">
        <f ca="1">+Borrowings!C30/'Aggregate As% of GSDP'!K29*100</f>
        <v>1.4721451132200283</v>
      </c>
      <c r="D30" s="401">
        <f ca="1">+Borrowings!D30/'Aggregate As% of GSDP'!L29*100</f>
        <v>2.4603040708570245</v>
      </c>
      <c r="E30" s="401">
        <f ca="1">+Borrowings!E30/'Aggregate As% of GSDP'!M29*100</f>
        <v>2.4174052966341844</v>
      </c>
      <c r="F30" s="401">
        <f ca="1">+Borrowings!F30/'Aggregate As% of GSDP'!N29*100</f>
        <v>2.4568006909570799</v>
      </c>
      <c r="G30" s="401">
        <f ca="1">+Borrowings!G30/'Aggregate As% of GSDP'!O29*100</f>
        <v>1.751453047314488</v>
      </c>
      <c r="H30" s="401">
        <f ca="1">+Borrowings!H30/'Aggregate As% of GSDP'!P29*100</f>
        <v>2.3005855851917905</v>
      </c>
      <c r="I30" s="401">
        <f ca="1">+Borrowings!I30/'Aggregate As% of GSDP'!Q29*100</f>
        <v>2.544050452951911</v>
      </c>
      <c r="J30" s="401">
        <f ca="1">+Borrowings!C30/'Aggregate Resources'!C30*100</f>
        <v>54.025072906920336</v>
      </c>
      <c r="K30" s="401">
        <f ca="1">+Borrowings!D30/'Aggregate Resources'!D30*100</f>
        <v>79.639512853350737</v>
      </c>
      <c r="L30" s="401">
        <f ca="1">+Borrowings!E30/'Aggregate Resources'!E30*100</f>
        <v>69.122807017543892</v>
      </c>
      <c r="M30" s="401">
        <f ca="1">+Borrowings!F30/'Aggregate Resources'!F30*100</f>
        <v>76.927567990750546</v>
      </c>
      <c r="N30" s="401">
        <f ca="1">+Borrowings!G30/'Aggregate Resources'!G30*100</f>
        <v>56.699460087903709</v>
      </c>
      <c r="O30" s="401">
        <f ca="1">+Borrowings!H30/'Aggregate Resources'!H30*100</f>
        <v>78.246137416420638</v>
      </c>
      <c r="P30" s="401">
        <f ca="1">+Borrowings!I30/'Aggregate Resources'!I30*100</f>
        <v>50.12732919254659</v>
      </c>
    </row>
    <row r="31" spans="1:16" ht="15.75">
      <c r="A31" s="424">
        <v>12</v>
      </c>
      <c r="B31" s="425" t="s">
        <v>74</v>
      </c>
      <c r="C31" s="401">
        <f ca="1">+Borrowings!C31/'Aggregate As% of GSDP'!K30*100</f>
        <v>-0.75504254529139669</v>
      </c>
      <c r="D31" s="401">
        <f ca="1">+Borrowings!D31/'Aggregate As% of GSDP'!L30*100</f>
        <v>7.8684903462162642E-2</v>
      </c>
      <c r="E31" s="401">
        <f ca="1">+Borrowings!E31/'Aggregate As% of GSDP'!M30*100</f>
        <v>0.78431504915738959</v>
      </c>
      <c r="F31" s="401">
        <f ca="1">+Borrowings!F31/'Aggregate As% of GSDP'!N30*100</f>
        <v>0.7122310535108588</v>
      </c>
      <c r="G31" s="401">
        <f ca="1">+Borrowings!G31/'Aggregate As% of GSDP'!O30*100</f>
        <v>1.7921969587525572</v>
      </c>
      <c r="H31" s="401">
        <f ca="1">+Borrowings!H31/'Aggregate As% of GSDP'!P30*100</f>
        <v>2.6849279140684024</v>
      </c>
      <c r="I31" s="401">
        <f ca="1">+Borrowings!I31/'Aggregate As% of GSDP'!Q30*100</f>
        <v>3.4872024242928568</v>
      </c>
      <c r="J31" s="401">
        <f ca="1">+Borrowings!C31/'Aggregate Resources'!C31*100</f>
        <v>-16.40297348666267</v>
      </c>
      <c r="K31" s="401">
        <f ca="1">+Borrowings!D31/'Aggregate Resources'!D31*100</f>
        <v>1.4980370637242699</v>
      </c>
      <c r="L31" s="401">
        <f ca="1">+Borrowings!E31/'Aggregate Resources'!E31*100</f>
        <v>13.589562277031373</v>
      </c>
      <c r="M31" s="401">
        <f ca="1">+Borrowings!F31/'Aggregate Resources'!F31*100</f>
        <v>12.51897596526041</v>
      </c>
      <c r="N31" s="401">
        <f ca="1">+Borrowings!G31/'Aggregate Resources'!G31*100</f>
        <v>33.383246527777779</v>
      </c>
      <c r="O31" s="401">
        <f ca="1">+Borrowings!H31/'Aggregate Resources'!H31*100</f>
        <v>38.676627980020243</v>
      </c>
      <c r="P31" s="401">
        <f ca="1">+Borrowings!I31/'Aggregate Resources'!I31*100</f>
        <v>46.779441860465113</v>
      </c>
    </row>
    <row r="32" spans="1:16" ht="15.75">
      <c r="A32" s="424">
        <v>13</v>
      </c>
      <c r="B32" s="425" t="s">
        <v>36</v>
      </c>
      <c r="C32" s="401">
        <f ca="1">+Borrowings!C32/'Aggregate As% of GSDP'!K31*100</f>
        <v>3.0594502282505163</v>
      </c>
      <c r="D32" s="401">
        <f ca="1">+Borrowings!D32/'Aggregate As% of GSDP'!L31*100</f>
        <v>3.6277788311815171</v>
      </c>
      <c r="E32" s="401">
        <f ca="1">+Borrowings!E32/'Aggregate As% of GSDP'!M31*100</f>
        <v>3.1372506329113925</v>
      </c>
      <c r="F32" s="401">
        <f ca="1">+Borrowings!F32/'Aggregate As% of GSDP'!N31*100</f>
        <v>2.7117424979222293</v>
      </c>
      <c r="G32" s="401">
        <f ca="1">+Borrowings!G32/'Aggregate As% of GSDP'!O31*100</f>
        <v>3.4797020629411533</v>
      </c>
      <c r="H32" s="401">
        <f ca="1">+Borrowings!H32/'Aggregate As% of GSDP'!P31*100</f>
        <v>5.1885296486511931</v>
      </c>
      <c r="I32" s="401">
        <f ca="1">+Borrowings!I32/'Aggregate As% of GSDP'!Q31*100</f>
        <v>4.6269957413738538</v>
      </c>
      <c r="J32" s="401">
        <f ca="1">+Borrowings!C32/'Aggregate Resources'!C32*100</f>
        <v>91.337572873219727</v>
      </c>
      <c r="K32" s="401">
        <f ca="1">+Borrowings!D32/'Aggregate Resources'!D32*100</f>
        <v>95.317569230258243</v>
      </c>
      <c r="L32" s="401">
        <f ca="1">+Borrowings!E32/'Aggregate Resources'!E32*100</f>
        <v>131.87027652859027</v>
      </c>
      <c r="M32" s="401">
        <f ca="1">+Borrowings!F32/'Aggregate Resources'!F32*100</f>
        <v>80.383461691178525</v>
      </c>
      <c r="N32" s="401">
        <f ca="1">+Borrowings!G32/'Aggregate Resources'!G32*100</f>
        <v>77.456597222222229</v>
      </c>
      <c r="O32" s="401">
        <f ca="1">+Borrowings!H32/'Aggregate Resources'!H32*100</f>
        <v>115.61997892898323</v>
      </c>
      <c r="P32" s="401">
        <f ca="1">+Borrowings!I32/'Aggregate Resources'!I32*100</f>
        <v>91.569178294573646</v>
      </c>
    </row>
    <row r="33" spans="1:16" ht="15.75">
      <c r="A33" s="424">
        <v>14</v>
      </c>
      <c r="B33" s="425" t="s">
        <v>37</v>
      </c>
      <c r="C33" s="401">
        <f ca="1">+Borrowings!C33/'Aggregate As% of GSDP'!K32*100</f>
        <v>2.2251593762511424</v>
      </c>
      <c r="D33" s="401">
        <f ca="1">+Borrowings!D33/'Aggregate As% of GSDP'!L32*100</f>
        <v>2.7786394398763363</v>
      </c>
      <c r="E33" s="401">
        <f ca="1">+Borrowings!E33/'Aggregate As% of GSDP'!M32*100</f>
        <v>2.9914906423398855</v>
      </c>
      <c r="F33" s="401">
        <f ca="1">+Borrowings!F33/'Aggregate As% of GSDP'!N32*100</f>
        <v>2.2169777861846383</v>
      </c>
      <c r="G33" s="401">
        <f ca="1">+Borrowings!G33/'Aggregate As% of GSDP'!O32*100</f>
        <v>2.0125699639583363</v>
      </c>
      <c r="H33" s="401">
        <f ca="1">+Borrowings!H33/'Aggregate As% of GSDP'!P32*100</f>
        <v>4.2622497087420923</v>
      </c>
      <c r="I33" s="401">
        <f ca="1">+Borrowings!I33/'Aggregate As% of GSDP'!Q32*100</f>
        <v>4.1673953839684783</v>
      </c>
      <c r="J33" s="401">
        <f ca="1">+Borrowings!C33/'Aggregate Resources'!C33*100</f>
        <v>34.307126775164889</v>
      </c>
      <c r="K33" s="401">
        <f ca="1">+Borrowings!D33/'Aggregate Resources'!D33*100</f>
        <v>44.086592529948149</v>
      </c>
      <c r="L33" s="401">
        <f ca="1">+Borrowings!E33/'Aggregate Resources'!E33*100</f>
        <v>44.273614481778353</v>
      </c>
      <c r="M33" s="401">
        <f ca="1">+Borrowings!F33/'Aggregate Resources'!F33*100</f>
        <v>34.604181601947886</v>
      </c>
      <c r="N33" s="401">
        <f ca="1">+Borrowings!G33/'Aggregate Resources'!G33*100</f>
        <v>29.592513622364368</v>
      </c>
      <c r="O33" s="401">
        <f ca="1">+Borrowings!H33/'Aggregate Resources'!H33*100</f>
        <v>56.243936781609193</v>
      </c>
      <c r="P33" s="401">
        <f ca="1">+Borrowings!I33/'Aggregate Resources'!I33*100</f>
        <v>52.857802469135805</v>
      </c>
    </row>
    <row r="34" spans="1:16" ht="15.75">
      <c r="A34" s="424">
        <v>15</v>
      </c>
      <c r="B34" s="425" t="s">
        <v>38</v>
      </c>
      <c r="C34" s="401">
        <f ca="1">+Borrowings!C34/'Aggregate As% of GSDP'!K33*100</f>
        <v>1.2718638386176346</v>
      </c>
      <c r="D34" s="401">
        <f ca="1">+Borrowings!D34/'Aggregate As% of GSDP'!L33*100</f>
        <v>2.5402206629856279</v>
      </c>
      <c r="E34" s="401">
        <f ca="1">+Borrowings!E34/'Aggregate As% of GSDP'!M33*100</f>
        <v>2.9308469502827612</v>
      </c>
      <c r="F34" s="401">
        <f ca="1">+Borrowings!F34/'Aggregate As% of GSDP'!N33*100</f>
        <v>2.1291084226939492</v>
      </c>
      <c r="G34" s="401">
        <f ca="1">+Borrowings!G34/'Aggregate As% of GSDP'!O33*100</f>
        <v>3.3433426723101345</v>
      </c>
      <c r="H34" s="401">
        <f ca="1">+Borrowings!H34/'Aggregate As% of GSDP'!P33*100</f>
        <v>4.0043184852661078</v>
      </c>
      <c r="I34" s="401">
        <f ca="1">+Borrowings!I34/'Aggregate As% of GSDP'!Q33*100</f>
        <v>4.1847036229932533</v>
      </c>
      <c r="J34" s="401">
        <f ca="1">+Borrowings!C34/'Aggregate Resources'!C34*100</f>
        <v>31.368383715546148</v>
      </c>
      <c r="K34" s="401">
        <f ca="1">+Borrowings!D34/'Aggregate Resources'!D34*100</f>
        <v>62.640598214450293</v>
      </c>
      <c r="L34" s="401">
        <f ca="1">+Borrowings!E34/'Aggregate Resources'!E34*100</f>
        <v>78.841642031410515</v>
      </c>
      <c r="M34" s="401">
        <f ca="1">+Borrowings!F34/'Aggregate Resources'!F34*100</f>
        <v>60.851258040036605</v>
      </c>
      <c r="N34" s="401">
        <f ca="1">+Borrowings!G34/'Aggregate Resources'!G34*100</f>
        <v>93.234759945325806</v>
      </c>
      <c r="O34" s="401">
        <f ca="1">+Borrowings!H34/'Aggregate Resources'!H34*100</f>
        <v>106.46825</v>
      </c>
      <c r="P34" s="401">
        <f ca="1">+Borrowings!I34/'Aggregate Resources'!I34*100</f>
        <v>95.839608920491287</v>
      </c>
    </row>
    <row r="35" spans="1:16" ht="15.75">
      <c r="A35" s="424">
        <v>16</v>
      </c>
      <c r="B35" s="425" t="s">
        <v>39</v>
      </c>
      <c r="C35" s="401">
        <f ca="1">+Borrowings!C35/'Aggregate As% of GSDP'!K34*100</f>
        <v>1.1262473043605397</v>
      </c>
      <c r="D35" s="401">
        <f ca="1">+Borrowings!D35/'Aggregate As% of GSDP'!L34*100</f>
        <v>2.7357230399046522</v>
      </c>
      <c r="E35" s="401">
        <f ca="1">+Borrowings!E35/'Aggregate As% of GSDP'!M34*100</f>
        <v>3.5704880071227421</v>
      </c>
      <c r="F35" s="401">
        <f ca="1">+Borrowings!F35/'Aggregate As% of GSDP'!N34*100</f>
        <v>2.7435834205317216</v>
      </c>
      <c r="G35" s="401">
        <f ca="1">+Borrowings!G35/'Aggregate As% of GSDP'!O34*100</f>
        <v>4.2530253738179429</v>
      </c>
      <c r="H35" s="401">
        <f ca="1">+Borrowings!H35/'Aggregate As% of GSDP'!P34*100</f>
        <v>3.3630538540569361</v>
      </c>
      <c r="I35" s="401">
        <f ca="1">+Borrowings!I35/'Aggregate As% of GSDP'!Q34*100</f>
        <v>4.2262068343091794</v>
      </c>
      <c r="J35" s="401">
        <f ca="1">+Borrowings!C35/'Aggregate Resources'!C35*100</f>
        <v>17.085098748387072</v>
      </c>
      <c r="K35" s="401">
        <f ca="1">+Borrowings!D35/'Aggregate Resources'!D35*100</f>
        <v>34.959861256593406</v>
      </c>
      <c r="L35" s="401">
        <f ca="1">+Borrowings!E35/'Aggregate Resources'!E35*100</f>
        <v>55.632735091867744</v>
      </c>
      <c r="M35" s="401">
        <f ca="1">+Borrowings!F35/'Aggregate Resources'!F35*100</f>
        <v>42.844359654278854</v>
      </c>
      <c r="N35" s="401">
        <f ca="1">+Borrowings!G35/'Aggregate Resources'!G35*100</f>
        <v>65.312721853811865</v>
      </c>
      <c r="O35" s="401">
        <f ca="1">+Borrowings!H35/'Aggregate Resources'!H35*100</f>
        <v>46.707925481984525</v>
      </c>
      <c r="P35" s="401">
        <f ca="1">+Borrowings!I35/'Aggregate Resources'!I35*100</f>
        <v>54.135144508670521</v>
      </c>
    </row>
    <row r="36" spans="1:16" ht="15.75">
      <c r="A36" s="424">
        <v>17</v>
      </c>
      <c r="B36" s="425" t="s">
        <v>40</v>
      </c>
      <c r="C36" s="401">
        <f ca="1">+Borrowings!C36/'Aggregate As% of GSDP'!K35*100</f>
        <v>3.7650317380285361</v>
      </c>
      <c r="D36" s="401">
        <f ca="1">+Borrowings!D36/'Aggregate As% of GSDP'!L35*100</f>
        <v>3.422492703440934</v>
      </c>
      <c r="E36" s="401">
        <f ca="1">+Borrowings!E36/'Aggregate As% of GSDP'!M35*100</f>
        <v>5.4125601684717211</v>
      </c>
      <c r="F36" s="401">
        <f ca="1">+Borrowings!F36/'Aggregate As% of GSDP'!N35*100</f>
        <v>4.1006792361142752</v>
      </c>
      <c r="G36" s="401">
        <f ca="1">+Borrowings!G36/'Aggregate As% of GSDP'!O35*100</f>
        <v>3.3124678331280237</v>
      </c>
      <c r="H36" s="401">
        <f ca="1">+Borrowings!H36/'Aggregate As% of GSDP'!P35*100</f>
        <v>4.719457881836945</v>
      </c>
      <c r="I36" s="401">
        <f ca="1">+Borrowings!I36/'Aggregate As% of GSDP'!Q35*100</f>
        <v>4.5880669296233094</v>
      </c>
      <c r="J36" s="401">
        <f ca="1">+Borrowings!C36/'Aggregate Resources'!C36*100</f>
        <v>153.30439180645706</v>
      </c>
      <c r="K36" s="401">
        <f ca="1">+Borrowings!D36/'Aggregate Resources'!D36*100</f>
        <v>133.70922464704492</v>
      </c>
      <c r="L36" s="401">
        <f ca="1">+Borrowings!E36/'Aggregate Resources'!E36*100</f>
        <v>176.62922672016091</v>
      </c>
      <c r="M36" s="401">
        <f ca="1">+Borrowings!F36/'Aggregate Resources'!F36*100</f>
        <v>149.45637348813639</v>
      </c>
      <c r="N36" s="401">
        <f ca="1">+Borrowings!G36/'Aggregate Resources'!G36*100</f>
        <v>80.255694607004614</v>
      </c>
      <c r="O36" s="401">
        <f ca="1">+Borrowings!H36/'Aggregate Resources'!H36*100</f>
        <v>123.99074947236069</v>
      </c>
      <c r="P36" s="401">
        <f ca="1">+Borrowings!I36/'Aggregate Resources'!I36*100</f>
        <v>107.13379956455765</v>
      </c>
    </row>
    <row r="37" spans="1:16" s="300" customFormat="1">
      <c r="A37" s="421"/>
      <c r="B37" s="422" t="s">
        <v>192</v>
      </c>
      <c r="C37" s="403">
        <f ca="1">+Borrowings!C37/'Aggregate As% of GSDP'!K36*100</f>
        <v>1.6473484613343021</v>
      </c>
      <c r="D37" s="403">
        <f ca="1">+Borrowings!D37/'Aggregate As% of GSDP'!L36*100</f>
        <v>2.5109899781688214</v>
      </c>
      <c r="E37" s="403">
        <f ca="1">+Borrowings!E37/'Aggregate As% of GSDP'!M36*100</f>
        <v>2.8825359272660873</v>
      </c>
      <c r="F37" s="403">
        <f ca="1">+Borrowings!F37/'Aggregate As% of GSDP'!N36*100</f>
        <v>2.3089426171681682</v>
      </c>
      <c r="G37" s="403">
        <f ca="1">+Borrowings!G37/'Aggregate As% of GSDP'!O36*100</f>
        <v>2.738130225863098</v>
      </c>
      <c r="H37" s="403">
        <f ca="1">+Borrowings!H37/'Aggregate As% of GSDP'!P36*100</f>
        <v>3.6215432346106406</v>
      </c>
      <c r="I37" s="403">
        <f ca="1">+Borrowings!I37/'Aggregate As% of GSDP'!Q36*100</f>
        <v>3.8040905080427145</v>
      </c>
      <c r="J37" s="403">
        <f ca="1">+Borrowings!C37/'Aggregate Resources'!C37*100</f>
        <v>32.528347100821776</v>
      </c>
      <c r="K37" s="403">
        <f ca="1">+Borrowings!D37/'Aggregate Resources'!D37*100</f>
        <v>45.788437345996499</v>
      </c>
      <c r="L37" s="403">
        <f ca="1">+Borrowings!E37/'Aggregate Resources'!E37*100</f>
        <v>53.30413991313587</v>
      </c>
      <c r="M37" s="403">
        <f ca="1">+Borrowings!F37/'Aggregate Resources'!F37*100</f>
        <v>44.820749218469544</v>
      </c>
      <c r="N37" s="403">
        <f ca="1">+Borrowings!G37/'Aggregate Resources'!G37*100</f>
        <v>48.477308436689135</v>
      </c>
      <c r="O37" s="403">
        <f ca="1">+Borrowings!H37/'Aggregate Resources'!H37*100</f>
        <v>61.683580251691183</v>
      </c>
      <c r="P37" s="403">
        <f ca="1">+Borrowings!I37/'Aggregate Resources'!I37*100</f>
        <v>58.167242647298103</v>
      </c>
    </row>
    <row r="38" spans="1:16" s="300" customFormat="1">
      <c r="A38" s="421"/>
      <c r="B38" s="422" t="s">
        <v>86</v>
      </c>
      <c r="C38" s="403">
        <f ca="1">+Borrowings!C38/'Aggregate As% of GSDP'!K37*100</f>
        <v>1.7222495364194055</v>
      </c>
      <c r="D38" s="403">
        <f ca="1">+Borrowings!D38/'Aggregate As% of GSDP'!L37*100</f>
        <v>2.5752746885735336</v>
      </c>
      <c r="E38" s="403">
        <f ca="1">+Borrowings!E38/'Aggregate As% of GSDP'!M37*100</f>
        <v>2.9264076276858249</v>
      </c>
      <c r="F38" s="403">
        <f ca="1">+Borrowings!F38/'Aggregate As% of GSDP'!N37*100</f>
        <v>2.3711698004516082</v>
      </c>
      <c r="G38" s="403">
        <f ca="1">+Borrowings!G38/'Aggregate As% of GSDP'!O37*100</f>
        <v>2.6628502993759717</v>
      </c>
      <c r="H38" s="403">
        <f ca="1">+Borrowings!H38/'Aggregate As% of GSDP'!P37*100</f>
        <v>3.5517271600239728</v>
      </c>
      <c r="I38" s="403">
        <f ca="1">+Borrowings!I38/'Aggregate As% of GSDP'!Q37*100</f>
        <v>3.8453141449988357</v>
      </c>
      <c r="J38" s="403">
        <f ca="1">+Borrowings!C38/'Aggregate Resources'!C38*100</f>
        <v>32.212193545148388</v>
      </c>
      <c r="K38" s="403">
        <f ca="1">+Borrowings!D38/'Aggregate Resources'!D38*100</f>
        <v>44.816909853223699</v>
      </c>
      <c r="L38" s="403">
        <f ca="1">+Borrowings!E38/'Aggregate Resources'!E38*100</f>
        <v>52.030054740695398</v>
      </c>
      <c r="M38" s="403">
        <f ca="1">+Borrowings!F38/'Aggregate Resources'!F38*100</f>
        <v>44.183919510223127</v>
      </c>
      <c r="N38" s="403">
        <f ca="1">+Borrowings!G38/'Aggregate Resources'!G38*100</f>
        <v>45.816741397294741</v>
      </c>
      <c r="O38" s="403">
        <f ca="1">+Borrowings!H38/'Aggregate Resources'!H38*100</f>
        <v>58.864132548768346</v>
      </c>
      <c r="P38" s="403">
        <f ca="1">+Borrowings!I38/'Aggregate Resources'!I38*100</f>
        <v>57.473697692359551</v>
      </c>
    </row>
    <row r="39" spans="1:16" ht="15.75">
      <c r="A39" s="421" t="s">
        <v>231</v>
      </c>
      <c r="B39" s="422" t="s">
        <v>268</v>
      </c>
      <c r="C39" s="401"/>
      <c r="D39" s="401"/>
      <c r="E39" s="401"/>
      <c r="F39" s="401"/>
      <c r="G39" s="401"/>
      <c r="H39" s="401"/>
      <c r="I39" s="401">
        <f ca="1">+Borrowings!I39/'Aggregate As% of GSDP'!Q38*100</f>
        <v>0</v>
      </c>
      <c r="J39" s="401"/>
      <c r="K39" s="401"/>
      <c r="L39" s="401"/>
      <c r="M39" s="401"/>
      <c r="N39" s="401"/>
      <c r="O39" s="401"/>
      <c r="P39" s="401"/>
    </row>
    <row r="40" spans="1:16" ht="15.75">
      <c r="A40" s="424">
        <v>1</v>
      </c>
      <c r="B40" s="425" t="s">
        <v>233</v>
      </c>
      <c r="C40" s="401">
        <f ca="1">+Borrowings!C40/'Aggregate As% of GSDP'!K39*100</f>
        <v>-0.14502966184859473</v>
      </c>
      <c r="D40" s="401">
        <f ca="1">+Borrowings!D40/'Aggregate As% of GSDP'!L39*100</f>
        <v>2.2534334390317275E-2</v>
      </c>
      <c r="E40" s="401">
        <f ca="1">+Borrowings!E40/'Aggregate As% of GSDP'!M39*100</f>
        <v>0.53420427444294838</v>
      </c>
      <c r="F40" s="401">
        <f ca="1">+Borrowings!F40/'Aggregate As% of GSDP'!N39*100</f>
        <v>1.3839598343046373</v>
      </c>
      <c r="G40" s="401">
        <f ca="1">+Borrowings!G40/'Aggregate As% of GSDP'!O39*100</f>
        <v>0.18725943486767446</v>
      </c>
      <c r="H40" s="401">
        <f ca="1">+Borrowings!H40/'Aggregate As% of GSDP'!P39*100</f>
        <v>0.16294537089951497</v>
      </c>
      <c r="I40" s="401">
        <f ca="1">+Borrowings!I40/'Aggregate As% of GSDP'!Q39*100</f>
        <v>0</v>
      </c>
      <c r="J40" s="401">
        <f ca="1">+Borrowings!C40/'Aggregate Resources'!C40*100</f>
        <v>-2.6187128784417073</v>
      </c>
      <c r="K40" s="401">
        <f ca="1">+Borrowings!D40/'Aggregate Resources'!D40*100</f>
        <v>0.44399326440075448</v>
      </c>
      <c r="L40" s="401">
        <f ca="1">+Borrowings!E40/'Aggregate Resources'!E40*100</f>
        <v>10.522400390400396</v>
      </c>
      <c r="M40" s="401">
        <f ca="1">+Borrowings!F40/'Aggregate Resources'!F40*100</f>
        <v>30.684210526315791</v>
      </c>
      <c r="N40" s="401">
        <f ca="1">+Borrowings!G40/'Aggregate Resources'!G40*100</f>
        <v>3.0705161866362309</v>
      </c>
      <c r="O40" s="401">
        <f ca="1">+Borrowings!H40/'Aggregate Resources'!H40*100</f>
        <v>3.3890702320761426</v>
      </c>
      <c r="P40" s="401">
        <f ca="1">+Borrowings!I40/'Aggregate Resources'!I40*100</f>
        <v>0</v>
      </c>
    </row>
    <row r="41" spans="1:16" ht="15.75">
      <c r="A41" s="424">
        <v>2</v>
      </c>
      <c r="B41" s="425" t="s">
        <v>44</v>
      </c>
      <c r="C41" s="401">
        <f ca="1">+Borrowings!C41/'Aggregate As% of GSDP'!K40*100</f>
        <v>3.8178575289157926</v>
      </c>
      <c r="D41" s="401">
        <f ca="1">+Borrowings!D41/'Aggregate As% of GSDP'!L40*100</f>
        <v>3.6838805970149253</v>
      </c>
      <c r="E41" s="401">
        <f ca="1">+Borrowings!E41/'Aggregate As% of GSDP'!M40*100</f>
        <v>6.2196846553966187</v>
      </c>
      <c r="F41" s="401">
        <f ca="1">+Borrowings!F41/'Aggregate As% of GSDP'!N40*100</f>
        <v>5.9733424992361748</v>
      </c>
      <c r="G41" s="401">
        <f ca="1">+Borrowings!G41/'Aggregate As% of GSDP'!O40*100</f>
        <v>6.0833902939166098</v>
      </c>
      <c r="H41" s="401">
        <f ca="1">+Borrowings!H41/'Aggregate As% of GSDP'!P40*100</f>
        <v>2.6946254071661238</v>
      </c>
      <c r="I41" s="401">
        <f ca="1">+Borrowings!I41/'Aggregate As% of GSDP'!Q40*100</f>
        <v>3.4502325581395348</v>
      </c>
      <c r="J41" s="401">
        <f ca="1">+Borrowings!C41/'Aggregate Resources'!C41*100</f>
        <v>32.500393613731084</v>
      </c>
      <c r="K41" s="401">
        <f ca="1">+Borrowings!D41/'Aggregate Resources'!D41*100</f>
        <v>34.902386820599304</v>
      </c>
      <c r="L41" s="401">
        <f ca="1">+Borrowings!E41/'Aggregate Resources'!E41*100</f>
        <v>52.779862172466494</v>
      </c>
      <c r="M41" s="401">
        <f ca="1">+Borrowings!F41/'Aggregate Resources'!F41*100</f>
        <v>50.04992</v>
      </c>
      <c r="N41" s="401">
        <f ca="1">+Borrowings!G41/'Aggregate Resources'!G41*100</f>
        <v>32.36363636363636</v>
      </c>
      <c r="O41" s="401">
        <f ca="1">+Borrowings!H41/'Aggregate Resources'!H41*100</f>
        <v>33.280172413793103</v>
      </c>
      <c r="P41" s="401">
        <f ca="1">+Borrowings!I41/'Aggregate Resources'!I41*100</f>
        <v>37.089999999999996</v>
      </c>
    </row>
    <row r="42" spans="1:16" s="300" customFormat="1">
      <c r="A42" s="437"/>
      <c r="B42" s="428" t="s">
        <v>234</v>
      </c>
      <c r="C42" s="403">
        <f ca="1">+Borrowings!C42/'Aggregate As% of GSDP'!K41*100</f>
        <v>7.4235337743274468E-2</v>
      </c>
      <c r="D42" s="403">
        <f ca="1">+Borrowings!D42/'Aggregate As% of GSDP'!L41*100</f>
        <v>0.20690138939689257</v>
      </c>
      <c r="E42" s="403">
        <f ca="1">+Borrowings!E42/'Aggregate As% of GSDP'!M41*100</f>
        <v>0.83845461306611346</v>
      </c>
      <c r="F42" s="403">
        <f ca="1">+Borrowings!F42/'Aggregate As% of GSDP'!N41*100</f>
        <v>1.6099719761515168</v>
      </c>
      <c r="G42" s="403">
        <f ca="1">+Borrowings!G42/'Aggregate As% of GSDP'!O41*100</f>
        <v>0.46410151899790419</v>
      </c>
      <c r="H42" s="403">
        <f ca="1">+Borrowings!H42/'Aggregate As% of GSDP'!P41*100</f>
        <v>0.28205619395040682</v>
      </c>
      <c r="I42" s="403">
        <f ca="1">+Borrowings!I42/'Aggregate As% of GSDP'!Q41*100</f>
        <v>1.7251162790697674</v>
      </c>
      <c r="J42" s="403">
        <f ca="1">+Borrowings!C42/'Aggregate Resources'!C42*100</f>
        <v>1.262132158944375</v>
      </c>
      <c r="K42" s="403">
        <f ca="1">+Borrowings!D42/'Aggregate Resources'!D42*100</f>
        <v>3.8663803157029579</v>
      </c>
      <c r="L42" s="403">
        <f ca="1">+Borrowings!E42/'Aggregate Resources'!E42*100</f>
        <v>15.42477850084483</v>
      </c>
      <c r="M42" s="403">
        <f ca="1">+Borrowings!F42/'Aggregate Resources'!F42*100</f>
        <v>33.01855351976856</v>
      </c>
      <c r="N42" s="403">
        <f ca="1">+Borrowings!G42/'Aggregate Resources'!G42*100</f>
        <v>6.932207622993138</v>
      </c>
      <c r="O42" s="403">
        <f ca="1">+Borrowings!H42/'Aggregate Resources'!H42*100</f>
        <v>5.6835232583467299</v>
      </c>
      <c r="P42" s="403">
        <f ca="1">+Borrowings!I42/'Aggregate Resources'!I42*100</f>
        <v>3.9826049608074729</v>
      </c>
    </row>
    <row r="43" spans="1:16" s="300" customFormat="1" ht="30.75" customHeight="1">
      <c r="A43" s="438"/>
      <c r="B43" s="430" t="s">
        <v>235</v>
      </c>
      <c r="C43" s="403">
        <f ca="1">+Borrowings!C43/'Aggregate As% of GSDP'!K42*100</f>
        <v>1.6588708627509521</v>
      </c>
      <c r="D43" s="403">
        <f ca="1">+Borrowings!D43/'Aggregate As% of GSDP'!L42*100</f>
        <v>2.4809530491220286</v>
      </c>
      <c r="E43" s="403">
        <f ca="1">+Borrowings!E43/'Aggregate As% of GSDP'!M42*100</f>
        <v>2.8431179132662994</v>
      </c>
      <c r="F43" s="403">
        <f ca="1">+Borrowings!F43/'Aggregate As% of GSDP'!N42*100</f>
        <v>2.3417814489547464</v>
      </c>
      <c r="G43" s="403">
        <f ca="1">+Borrowings!G43/'Aggregate As% of GSDP'!O42*100</f>
        <v>2.5762114302349373</v>
      </c>
      <c r="H43" s="403">
        <f ca="1">+Borrowings!H43/'Aggregate As% of GSDP'!P42*100</f>
        <v>3.4198530155174316</v>
      </c>
      <c r="I43" s="403">
        <f ca="1">+Borrowings!I43/'Aggregate As% of GSDP'!Q42*100</f>
        <v>3.8362161360577627</v>
      </c>
      <c r="J43" s="403">
        <f ca="1">+Borrowings!C43/'Aggregate Resources'!C43*100</f>
        <v>30.907810255207163</v>
      </c>
      <c r="K43" s="403">
        <f ca="1">+Borrowings!D43/'Aggregate Resources'!D43*100</f>
        <v>43.293950835610929</v>
      </c>
      <c r="L43" s="403">
        <f ca="1">+Borrowings!E43/'Aggregate Resources'!E43*100</f>
        <v>50.616944587672961</v>
      </c>
      <c r="M43" s="403">
        <f ca="1">+Borrowings!F43/'Aggregate Resources'!F43*100</f>
        <v>43.790869214008694</v>
      </c>
      <c r="N43" s="403">
        <f ca="1">+Borrowings!G43/'Aggregate Resources'!G43*100</f>
        <v>44.062291134859599</v>
      </c>
      <c r="O43" s="403">
        <f ca="1">+Borrowings!H43/'Aggregate Resources'!H43*100</f>
        <v>57.087250504190635</v>
      </c>
      <c r="P43" s="403">
        <f ca="1">+Borrowings!I43/'Aggregate Resources'!I43*100</f>
        <v>56.021733016026154</v>
      </c>
    </row>
    <row r="44" spans="1:16" ht="15.75">
      <c r="A44" s="439"/>
      <c r="B44" s="545" t="s">
        <v>258</v>
      </c>
      <c r="C44" s="545"/>
      <c r="D44" s="545"/>
      <c r="E44" s="545"/>
      <c r="F44" s="545"/>
      <c r="G44" s="545"/>
      <c r="H44" s="545"/>
      <c r="I44" s="545"/>
      <c r="J44" s="545"/>
      <c r="K44" s="545"/>
      <c r="L44" s="545"/>
      <c r="M44" s="388"/>
      <c r="N44" s="388"/>
      <c r="O44" s="388"/>
    </row>
    <row r="45" spans="1:16" ht="15.75">
      <c r="C45" s="297" t="s">
        <v>48</v>
      </c>
      <c r="D45" s="297" t="s">
        <v>49</v>
      </c>
      <c r="E45" s="297" t="s">
        <v>5</v>
      </c>
      <c r="F45" s="297" t="s">
        <v>6</v>
      </c>
      <c r="G45" s="298" t="s">
        <v>7</v>
      </c>
      <c r="H45" s="299" t="s">
        <v>122</v>
      </c>
      <c r="I45" s="299" t="s">
        <v>139</v>
      </c>
      <c r="J45" s="418"/>
      <c r="K45" s="418"/>
      <c r="L45" s="418"/>
      <c r="M45" s="418"/>
      <c r="N45" s="418"/>
      <c r="O45" s="418"/>
    </row>
    <row r="46" spans="1:16" s="300" customFormat="1" ht="12.75">
      <c r="A46" s="387"/>
      <c r="B46" s="300" t="s">
        <v>216</v>
      </c>
      <c r="C46" s="301">
        <v>1.0575600000000001</v>
      </c>
      <c r="D46" s="301">
        <v>1.1492</v>
      </c>
      <c r="E46" s="301">
        <v>1.21888</v>
      </c>
      <c r="F46" s="301">
        <v>1.3283799999999999</v>
      </c>
      <c r="G46" s="301">
        <v>1.4418200000000001</v>
      </c>
      <c r="H46" s="302">
        <v>1.5452399999999999</v>
      </c>
      <c r="I46" s="302">
        <v>1.6520900000000001</v>
      </c>
      <c r="J46" s="301"/>
      <c r="K46" s="301"/>
      <c r="L46" s="301"/>
      <c r="M46" s="301"/>
      <c r="N46" s="301"/>
      <c r="O46" s="301"/>
    </row>
    <row r="47" spans="1:16">
      <c r="C47" s="301"/>
      <c r="D47" s="301"/>
      <c r="E47" s="301"/>
      <c r="F47" s="301"/>
      <c r="G47" s="301"/>
      <c r="H47" s="301"/>
      <c r="I47" s="301"/>
    </row>
  </sheetData>
  <mergeCells count="7">
    <mergeCell ref="O2:P2"/>
    <mergeCell ref="A1:P1"/>
    <mergeCell ref="B44:L44"/>
    <mergeCell ref="A3:A4"/>
    <mergeCell ref="B3:B4"/>
    <mergeCell ref="C3:I3"/>
    <mergeCell ref="J3:P3"/>
  </mergeCells>
  <phoneticPr fontId="42" type="noConversion"/>
  <printOptions horizontalCentered="1"/>
  <pageMargins left="0.23622047244094491" right="0.27559055118110237" top="0.78740157480314965" bottom="0.39370078740157483" header="0" footer="0"/>
  <pageSetup paperSize="9" scale="71" orientation="landscape" horizontalDpi="429496729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P53"/>
  <sheetViews>
    <sheetView view="pageBreakPreview" zoomScaleNormal="100" workbookViewId="0">
      <pane xSplit="2" ySplit="5" topLeftCell="C6" activePane="bottomRight" state="frozen"/>
      <selection activeCell="J4" sqref="J4:P5"/>
      <selection pane="topRight" activeCell="J4" sqref="J4:P5"/>
      <selection pane="bottomLeft" activeCell="J4" sqref="J4:P5"/>
      <selection pane="bottomRight" activeCell="A2" sqref="A2"/>
    </sheetView>
  </sheetViews>
  <sheetFormatPr defaultRowHeight="15.75"/>
  <cols>
    <col min="1" max="1" width="5.28515625" style="441" customWidth="1"/>
    <col min="2" max="2" width="35.28515625" style="442" customWidth="1"/>
    <col min="3" max="15" width="12.42578125" style="296" customWidth="1"/>
    <col min="16" max="16" width="12" style="296" customWidth="1"/>
    <col min="17" max="16384" width="9.140625" style="296"/>
  </cols>
  <sheetData>
    <row r="1" spans="1:16" ht="25.5" customHeight="1">
      <c r="A1" s="533" t="s">
        <v>322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</row>
    <row r="2" spans="1:16" ht="22.5" customHeight="1">
      <c r="A2" s="361"/>
      <c r="B2" s="122">
        <v>41834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551" t="s">
        <v>84</v>
      </c>
      <c r="P2" s="551"/>
    </row>
    <row r="3" spans="1:16" s="409" customFormat="1" ht="20.25" customHeight="1">
      <c r="A3" s="560" t="s">
        <v>71</v>
      </c>
      <c r="B3" s="543" t="s">
        <v>85</v>
      </c>
      <c r="C3" s="550" t="s">
        <v>269</v>
      </c>
      <c r="D3" s="550"/>
      <c r="E3" s="550"/>
      <c r="F3" s="550"/>
      <c r="G3" s="550"/>
      <c r="H3" s="550"/>
      <c r="I3" s="408"/>
      <c r="J3" s="550" t="s">
        <v>270</v>
      </c>
      <c r="K3" s="550"/>
      <c r="L3" s="550"/>
      <c r="M3" s="550"/>
      <c r="N3" s="550"/>
      <c r="O3" s="550"/>
      <c r="P3" s="550"/>
    </row>
    <row r="4" spans="1:16" s="409" customFormat="1" ht="15" customHeight="1">
      <c r="A4" s="560"/>
      <c r="B4" s="543"/>
      <c r="C4" s="375" t="s">
        <v>48</v>
      </c>
      <c r="D4" s="375" t="s">
        <v>49</v>
      </c>
      <c r="E4" s="375" t="s">
        <v>5</v>
      </c>
      <c r="F4" s="375" t="s">
        <v>6</v>
      </c>
      <c r="G4" s="375" t="s">
        <v>7</v>
      </c>
      <c r="H4" s="375" t="s">
        <v>122</v>
      </c>
      <c r="I4" s="375" t="s">
        <v>139</v>
      </c>
      <c r="J4" s="375" t="s">
        <v>48</v>
      </c>
      <c r="K4" s="375" t="s">
        <v>49</v>
      </c>
      <c r="L4" s="375" t="s">
        <v>5</v>
      </c>
      <c r="M4" s="375" t="s">
        <v>6</v>
      </c>
      <c r="N4" s="375" t="s">
        <v>7</v>
      </c>
      <c r="O4" s="375" t="s">
        <v>122</v>
      </c>
      <c r="P4" s="375" t="s">
        <v>139</v>
      </c>
    </row>
    <row r="5" spans="1:16" s="409" customFormat="1" ht="25.5">
      <c r="A5" s="440"/>
      <c r="B5" s="440"/>
      <c r="C5" s="375" t="s">
        <v>8</v>
      </c>
      <c r="D5" s="375" t="s">
        <v>8</v>
      </c>
      <c r="E5" s="375" t="s">
        <v>8</v>
      </c>
      <c r="F5" s="375" t="s">
        <v>8</v>
      </c>
      <c r="G5" s="375" t="s">
        <v>271</v>
      </c>
      <c r="H5" s="375" t="s">
        <v>224</v>
      </c>
      <c r="I5" s="375" t="s">
        <v>225</v>
      </c>
      <c r="J5" s="375" t="s">
        <v>8</v>
      </c>
      <c r="K5" s="375" t="s">
        <v>8</v>
      </c>
      <c r="L5" s="375" t="s">
        <v>8</v>
      </c>
      <c r="M5" s="375" t="s">
        <v>8</v>
      </c>
      <c r="N5" s="375" t="s">
        <v>271</v>
      </c>
      <c r="O5" s="375" t="s">
        <v>224</v>
      </c>
      <c r="P5" s="375" t="s">
        <v>225</v>
      </c>
    </row>
    <row r="6" spans="1:16">
      <c r="A6" s="421" t="s">
        <v>226</v>
      </c>
      <c r="B6" s="422" t="s">
        <v>227</v>
      </c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</row>
    <row r="7" spans="1:16">
      <c r="A7" s="424">
        <v>1</v>
      </c>
      <c r="B7" s="425" t="s">
        <v>12</v>
      </c>
      <c r="C7" s="380">
        <v>1185.17</v>
      </c>
      <c r="D7" s="380">
        <v>1814.49</v>
      </c>
      <c r="E7" s="380">
        <v>2168.96</v>
      </c>
      <c r="F7" s="380">
        <v>2094.52</v>
      </c>
      <c r="G7" s="380">
        <v>2706.87</v>
      </c>
      <c r="H7" s="380">
        <v>2794.25</v>
      </c>
      <c r="I7" s="380">
        <v>3177.1499999999996</v>
      </c>
      <c r="J7" s="380">
        <f t="shared" ref="J7:J17" si="0">+C7/C$46</f>
        <v>1120.664548583532</v>
      </c>
      <c r="K7" s="380">
        <f t="shared" ref="K7:K17" si="1">+D7/D$46</f>
        <v>1578.9157674904282</v>
      </c>
      <c r="L7" s="380">
        <f t="shared" ref="L7:L17" si="2">+E7/E$46</f>
        <v>1779.4696770805986</v>
      </c>
      <c r="M7" s="380">
        <f t="shared" ref="M7:M17" si="3">+F7/F$46</f>
        <v>1576.7476173986361</v>
      </c>
      <c r="N7" s="380">
        <f t="shared" ref="N7:N17" si="4">+G7/G$46</f>
        <v>1877.3980108474009</v>
      </c>
      <c r="O7" s="380">
        <f t="shared" ref="O7:O17" si="5">+H7/H$46</f>
        <v>1808.2951515622169</v>
      </c>
      <c r="P7" s="380">
        <f t="shared" ref="P7:P17" si="6">+I7/I$46</f>
        <v>1923.1095158254088</v>
      </c>
    </row>
    <row r="8" spans="1:16">
      <c r="A8" s="424">
        <v>2</v>
      </c>
      <c r="B8" s="425" t="s">
        <v>13</v>
      </c>
      <c r="C8" s="380">
        <v>2852.17</v>
      </c>
      <c r="D8" s="380">
        <v>3859.27</v>
      </c>
      <c r="E8" s="380">
        <v>3408.4700000000003</v>
      </c>
      <c r="F8" s="380">
        <v>4278.3100000000004</v>
      </c>
      <c r="G8" s="380">
        <v>5515.6</v>
      </c>
      <c r="H8" s="380">
        <v>7861.07</v>
      </c>
      <c r="I8" s="380">
        <v>8873.0499999999993</v>
      </c>
      <c r="J8" s="380">
        <f t="shared" si="0"/>
        <v>2696.9344528915617</v>
      </c>
      <c r="K8" s="380">
        <f t="shared" si="1"/>
        <v>3358.2231117298988</v>
      </c>
      <c r="L8" s="380">
        <f t="shared" si="2"/>
        <v>2796.3950511945395</v>
      </c>
      <c r="M8" s="380">
        <f t="shared" si="3"/>
        <v>3220.697390806848</v>
      </c>
      <c r="N8" s="380">
        <f t="shared" si="4"/>
        <v>3825.4428430733378</v>
      </c>
      <c r="O8" s="380">
        <f t="shared" si="5"/>
        <v>5087.2809401775776</v>
      </c>
      <c r="P8" s="380">
        <f t="shared" si="6"/>
        <v>5370.8030434177308</v>
      </c>
    </row>
    <row r="9" spans="1:16">
      <c r="A9" s="424">
        <v>3</v>
      </c>
      <c r="B9" s="425" t="s">
        <v>14</v>
      </c>
      <c r="C9" s="380">
        <v>1488.77</v>
      </c>
      <c r="D9" s="380">
        <v>1700.37</v>
      </c>
      <c r="E9" s="380">
        <v>2242.98</v>
      </c>
      <c r="F9" s="380">
        <v>2663.43</v>
      </c>
      <c r="G9" s="380">
        <v>3342.39</v>
      </c>
      <c r="H9" s="380">
        <v>4271.46</v>
      </c>
      <c r="I9" s="380">
        <v>3815.43</v>
      </c>
      <c r="J9" s="380">
        <f t="shared" si="0"/>
        <v>1407.7404591701652</v>
      </c>
      <c r="K9" s="380">
        <f t="shared" si="1"/>
        <v>1479.6119039331709</v>
      </c>
      <c r="L9" s="380">
        <f t="shared" si="2"/>
        <v>1840.197558414282</v>
      </c>
      <c r="M9" s="380">
        <f t="shared" si="3"/>
        <v>2005.0211535855703</v>
      </c>
      <c r="N9" s="380">
        <f t="shared" si="4"/>
        <v>2318.1742519870718</v>
      </c>
      <c r="O9" s="380">
        <f t="shared" si="5"/>
        <v>2764.2696280189484</v>
      </c>
      <c r="P9" s="380">
        <f t="shared" si="6"/>
        <v>2309.4565066067826</v>
      </c>
    </row>
    <row r="10" spans="1:16">
      <c r="A10" s="424">
        <v>4</v>
      </c>
      <c r="B10" s="425" t="s">
        <v>228</v>
      </c>
      <c r="C10" s="380">
        <v>4467.58</v>
      </c>
      <c r="D10" s="380">
        <v>4202.04</v>
      </c>
      <c r="E10" s="380">
        <v>7747.96</v>
      </c>
      <c r="F10" s="380">
        <v>7680.92</v>
      </c>
      <c r="G10" s="380">
        <v>9140.9500000000007</v>
      </c>
      <c r="H10" s="380">
        <v>9582.2099999999991</v>
      </c>
      <c r="I10" s="380">
        <v>10396.68</v>
      </c>
      <c r="J10" s="380">
        <f t="shared" si="0"/>
        <v>4224.4222550020804</v>
      </c>
      <c r="K10" s="380">
        <f t="shared" si="1"/>
        <v>3656.4914723285765</v>
      </c>
      <c r="L10" s="380">
        <f t="shared" si="2"/>
        <v>6356.6224730900503</v>
      </c>
      <c r="M10" s="380">
        <f t="shared" si="3"/>
        <v>5782.170764389708</v>
      </c>
      <c r="N10" s="380">
        <f t="shared" si="4"/>
        <v>6339.8690543895909</v>
      </c>
      <c r="O10" s="380">
        <f t="shared" si="5"/>
        <v>6201.1143899976696</v>
      </c>
      <c r="P10" s="380">
        <f t="shared" si="6"/>
        <v>6293.0469889654923</v>
      </c>
    </row>
    <row r="11" spans="1:16">
      <c r="A11" s="424">
        <v>5</v>
      </c>
      <c r="B11" s="425" t="s">
        <v>16</v>
      </c>
      <c r="C11" s="380">
        <v>1417.71</v>
      </c>
      <c r="D11" s="380">
        <v>1491.03</v>
      </c>
      <c r="E11" s="380">
        <v>1416.74</v>
      </c>
      <c r="F11" s="380">
        <v>2034.2199999999998</v>
      </c>
      <c r="G11" s="380">
        <v>2041.7</v>
      </c>
      <c r="H11" s="380">
        <v>2720.65</v>
      </c>
      <c r="I11" s="380">
        <v>3745.3599999999997</v>
      </c>
      <c r="J11" s="380">
        <f t="shared" si="0"/>
        <v>1340.5480540111198</v>
      </c>
      <c r="K11" s="380">
        <f t="shared" si="1"/>
        <v>1297.4504002784545</v>
      </c>
      <c r="L11" s="380">
        <f t="shared" si="2"/>
        <v>1162.3293515358362</v>
      </c>
      <c r="M11" s="380">
        <f t="shared" si="3"/>
        <v>1531.353980035833</v>
      </c>
      <c r="N11" s="380">
        <f t="shared" si="4"/>
        <v>1416.0574829035525</v>
      </c>
      <c r="O11" s="380">
        <f t="shared" si="5"/>
        <v>1760.6650099660894</v>
      </c>
      <c r="P11" s="380">
        <f t="shared" si="6"/>
        <v>2267.0435630020152</v>
      </c>
    </row>
    <row r="12" spans="1:16">
      <c r="A12" s="424">
        <v>6</v>
      </c>
      <c r="B12" s="425" t="s">
        <v>17</v>
      </c>
      <c r="C12" s="380">
        <v>613.62</v>
      </c>
      <c r="D12" s="380">
        <v>881.57</v>
      </c>
      <c r="E12" s="380">
        <v>1326.78</v>
      </c>
      <c r="F12" s="380">
        <v>1071.01</v>
      </c>
      <c r="G12" s="380">
        <v>1702.64</v>
      </c>
      <c r="H12" s="380">
        <v>1900.6</v>
      </c>
      <c r="I12" s="380">
        <v>2912.25</v>
      </c>
      <c r="J12" s="380">
        <f t="shared" si="0"/>
        <v>580.22239872915009</v>
      </c>
      <c r="K12" s="380">
        <f t="shared" si="1"/>
        <v>767.11625478593805</v>
      </c>
      <c r="L12" s="380">
        <f t="shared" si="2"/>
        <v>1088.523890784983</v>
      </c>
      <c r="M12" s="380">
        <f t="shared" si="3"/>
        <v>806.25272888781831</v>
      </c>
      <c r="N12" s="380">
        <f t="shared" si="4"/>
        <v>1180.8963670915925</v>
      </c>
      <c r="O12" s="380">
        <f t="shared" si="5"/>
        <v>1229.9707488804329</v>
      </c>
      <c r="P12" s="380">
        <f t="shared" si="6"/>
        <v>1762.7671615953125</v>
      </c>
    </row>
    <row r="13" spans="1:16">
      <c r="A13" s="424">
        <v>7</v>
      </c>
      <c r="B13" s="425" t="s">
        <v>18</v>
      </c>
      <c r="C13" s="380">
        <v>799.74</v>
      </c>
      <c r="D13" s="380">
        <v>769.78000000000009</v>
      </c>
      <c r="E13" s="380">
        <v>1302.1300000000001</v>
      </c>
      <c r="F13" s="380">
        <v>1163.28</v>
      </c>
      <c r="G13" s="380">
        <v>1572.11</v>
      </c>
      <c r="H13" s="380">
        <v>2246.6799999999998</v>
      </c>
      <c r="I13" s="380">
        <v>2513.85</v>
      </c>
      <c r="J13" s="380">
        <f t="shared" si="0"/>
        <v>756.21241348008618</v>
      </c>
      <c r="K13" s="380">
        <f t="shared" si="1"/>
        <v>669.8398886181692</v>
      </c>
      <c r="L13" s="380">
        <f t="shared" si="2"/>
        <v>1068.3004069309532</v>
      </c>
      <c r="M13" s="380">
        <f t="shared" si="3"/>
        <v>875.7132748159413</v>
      </c>
      <c r="N13" s="380">
        <f t="shared" si="4"/>
        <v>1090.3649554035869</v>
      </c>
      <c r="O13" s="380">
        <f t="shared" si="5"/>
        <v>1453.9359581683104</v>
      </c>
      <c r="P13" s="380">
        <f t="shared" si="6"/>
        <v>1521.6180716546919</v>
      </c>
    </row>
    <row r="14" spans="1:16">
      <c r="A14" s="424">
        <v>8</v>
      </c>
      <c r="B14" s="425" t="s">
        <v>19</v>
      </c>
      <c r="C14" s="380">
        <v>735.32999999999993</v>
      </c>
      <c r="D14" s="380">
        <v>876.01</v>
      </c>
      <c r="E14" s="380">
        <v>1187.3881000000001</v>
      </c>
      <c r="F14" s="380">
        <v>1849.15</v>
      </c>
      <c r="G14" s="380">
        <v>2084.16</v>
      </c>
      <c r="H14" s="380">
        <v>2334.6</v>
      </c>
      <c r="I14" s="380">
        <v>2904.7</v>
      </c>
      <c r="J14" s="380">
        <f t="shared" si="0"/>
        <v>695.30806762736859</v>
      </c>
      <c r="K14" s="380">
        <f t="shared" si="1"/>
        <v>762.27810650887568</v>
      </c>
      <c r="L14" s="380">
        <f t="shared" si="2"/>
        <v>974.16324822788147</v>
      </c>
      <c r="M14" s="380">
        <f t="shared" si="3"/>
        <v>1392.033905960644</v>
      </c>
      <c r="N14" s="380">
        <f t="shared" si="4"/>
        <v>1445.5063738885574</v>
      </c>
      <c r="O14" s="380">
        <f t="shared" si="5"/>
        <v>1510.8332686184669</v>
      </c>
      <c r="P14" s="380">
        <f t="shared" si="6"/>
        <v>1758.1971926468896</v>
      </c>
    </row>
    <row r="15" spans="1:16">
      <c r="A15" s="424">
        <v>9</v>
      </c>
      <c r="B15" s="425" t="s">
        <v>20</v>
      </c>
      <c r="C15" s="380">
        <v>414.20000000000005</v>
      </c>
      <c r="D15" s="380">
        <v>529.20000000000005</v>
      </c>
      <c r="E15" s="380">
        <v>930.19999999999993</v>
      </c>
      <c r="F15" s="380">
        <v>703.37</v>
      </c>
      <c r="G15" s="380">
        <v>1145.02</v>
      </c>
      <c r="H15" s="380">
        <v>1614.01</v>
      </c>
      <c r="I15" s="380">
        <v>1790.51</v>
      </c>
      <c r="J15" s="380">
        <f t="shared" si="0"/>
        <v>391.65626536555845</v>
      </c>
      <c r="K15" s="380">
        <f t="shared" si="1"/>
        <v>460.4942568743474</v>
      </c>
      <c r="L15" s="380">
        <f t="shared" si="2"/>
        <v>763.15962194801784</v>
      </c>
      <c r="M15" s="380">
        <f t="shared" si="3"/>
        <v>529.49457233622911</v>
      </c>
      <c r="N15" s="380">
        <f t="shared" si="4"/>
        <v>794.14906160269652</v>
      </c>
      <c r="O15" s="380">
        <f t="shared" si="5"/>
        <v>1044.5044135538817</v>
      </c>
      <c r="P15" s="380">
        <f t="shared" si="6"/>
        <v>1083.7847817007548</v>
      </c>
    </row>
    <row r="16" spans="1:16">
      <c r="A16" s="424">
        <v>10</v>
      </c>
      <c r="B16" s="425" t="s">
        <v>21</v>
      </c>
      <c r="C16" s="380">
        <v>1080.5</v>
      </c>
      <c r="D16" s="380">
        <v>1164.27</v>
      </c>
      <c r="E16" s="380">
        <v>1377.64</v>
      </c>
      <c r="F16" s="380">
        <v>1645.37</v>
      </c>
      <c r="G16" s="380">
        <v>1865.04</v>
      </c>
      <c r="H16" s="380">
        <v>2745.25</v>
      </c>
      <c r="I16" s="380">
        <v>3106.91</v>
      </c>
      <c r="J16" s="380">
        <f t="shared" si="0"/>
        <v>1021.6914406747608</v>
      </c>
      <c r="K16" s="380">
        <f t="shared" si="1"/>
        <v>1013.1134702401671</v>
      </c>
      <c r="L16" s="380">
        <f t="shared" si="2"/>
        <v>1130.2507219742715</v>
      </c>
      <c r="M16" s="380">
        <f t="shared" si="3"/>
        <v>1238.629006760114</v>
      </c>
      <c r="N16" s="380">
        <f t="shared" si="4"/>
        <v>1293.5317862146453</v>
      </c>
      <c r="O16" s="380">
        <f t="shared" si="5"/>
        <v>1776.5848670756648</v>
      </c>
      <c r="P16" s="380">
        <f t="shared" si="6"/>
        <v>1880.5936722575645</v>
      </c>
    </row>
    <row r="17" spans="1:16">
      <c r="A17" s="424">
        <v>11</v>
      </c>
      <c r="B17" s="425" t="s">
        <v>22</v>
      </c>
      <c r="C17" s="380">
        <v>2026.8200000000002</v>
      </c>
      <c r="D17" s="380">
        <v>1897.069</v>
      </c>
      <c r="E17" s="380">
        <v>2592.2399999999998</v>
      </c>
      <c r="F17" s="380">
        <v>3388.3041000000003</v>
      </c>
      <c r="G17" s="380">
        <v>2832.32</v>
      </c>
      <c r="H17" s="380">
        <v>3097.31</v>
      </c>
      <c r="I17" s="380">
        <v>5385</v>
      </c>
      <c r="J17" s="380">
        <f t="shared" si="0"/>
        <v>1916.5059192859035</v>
      </c>
      <c r="K17" s="380">
        <f t="shared" si="1"/>
        <v>1650.7735816219979</v>
      </c>
      <c r="L17" s="380">
        <f t="shared" si="2"/>
        <v>2126.7393016539772</v>
      </c>
      <c r="M17" s="380">
        <f t="shared" si="3"/>
        <v>2550.7039401376114</v>
      </c>
      <c r="N17" s="380">
        <f t="shared" si="4"/>
        <v>1964.4060978485525</v>
      </c>
      <c r="O17" s="380">
        <f t="shared" si="5"/>
        <v>2004.4200253682277</v>
      </c>
      <c r="P17" s="380">
        <f t="shared" si="6"/>
        <v>3259.5076539413712</v>
      </c>
    </row>
    <row r="18" spans="1:16">
      <c r="A18" s="421"/>
      <c r="B18" s="422" t="s">
        <v>229</v>
      </c>
      <c r="C18" s="384">
        <f t="shared" ref="C18:P18" si="7">SUM(C7:C17)</f>
        <v>17081.610000000004</v>
      </c>
      <c r="D18" s="384">
        <f t="shared" si="7"/>
        <v>19185.099000000002</v>
      </c>
      <c r="E18" s="384">
        <f t="shared" si="7"/>
        <v>25701.488100000002</v>
      </c>
      <c r="F18" s="384">
        <f t="shared" si="7"/>
        <v>28571.884099999999</v>
      </c>
      <c r="G18" s="384">
        <f t="shared" si="7"/>
        <v>33948.800000000003</v>
      </c>
      <c r="H18" s="384">
        <f t="shared" si="7"/>
        <v>41168.089999999997</v>
      </c>
      <c r="I18" s="384">
        <f t="shared" si="7"/>
        <v>48620.89</v>
      </c>
      <c r="J18" s="384">
        <f t="shared" si="7"/>
        <v>16151.906274821289</v>
      </c>
      <c r="K18" s="384">
        <f t="shared" si="7"/>
        <v>16694.308214410023</v>
      </c>
      <c r="L18" s="384">
        <f t="shared" si="7"/>
        <v>21086.151302835387</v>
      </c>
      <c r="M18" s="384">
        <f t="shared" si="7"/>
        <v>21508.818335114956</v>
      </c>
      <c r="N18" s="384">
        <f t="shared" si="7"/>
        <v>23545.796285250588</v>
      </c>
      <c r="O18" s="384">
        <f t="shared" si="7"/>
        <v>26641.874401387486</v>
      </c>
      <c r="P18" s="384">
        <f t="shared" si="7"/>
        <v>29429.928151614011</v>
      </c>
    </row>
    <row r="19" spans="1:16">
      <c r="A19" s="421" t="s">
        <v>230</v>
      </c>
      <c r="B19" s="422" t="s">
        <v>310</v>
      </c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</row>
    <row r="20" spans="1:16">
      <c r="A20" s="424">
        <v>1</v>
      </c>
      <c r="B20" s="425" t="s">
        <v>25</v>
      </c>
      <c r="C20" s="380">
        <v>3792.42</v>
      </c>
      <c r="D20" s="380">
        <v>4039.44</v>
      </c>
      <c r="E20" s="380">
        <v>4254.38</v>
      </c>
      <c r="F20" s="380">
        <v>3318.59</v>
      </c>
      <c r="G20" s="380">
        <v>5825.33</v>
      </c>
      <c r="H20" s="380">
        <v>5893.3799999999992</v>
      </c>
      <c r="I20" s="380">
        <v>5270.11</v>
      </c>
      <c r="J20" s="380">
        <f t="shared" ref="J20:J36" si="8">+C20/C$46</f>
        <v>3586.0093044366276</v>
      </c>
      <c r="K20" s="380">
        <f t="shared" ref="K20:K36" si="9">+D20/D$46</f>
        <v>3515.0017403411071</v>
      </c>
      <c r="L20" s="380">
        <f t="shared" ref="L20:L36" si="10">+E20/E$46</f>
        <v>3490.4010238907854</v>
      </c>
      <c r="M20" s="380">
        <f t="shared" ref="M20:M36" si="11">+F20/F$46</f>
        <v>2498.2233999307432</v>
      </c>
      <c r="N20" s="380">
        <f t="shared" ref="N20:N36" si="12">+G20/G$46</f>
        <v>4040.261613793677</v>
      </c>
      <c r="O20" s="380">
        <f t="shared" ref="O20:O36" si="13">+H20/H$46</f>
        <v>3813.8929874970872</v>
      </c>
      <c r="P20" s="380">
        <f t="shared" ref="P20:P36" si="14">+I20/I$46</f>
        <v>3189.9654377182837</v>
      </c>
    </row>
    <row r="21" spans="1:16">
      <c r="A21" s="424">
        <v>2</v>
      </c>
      <c r="B21" s="425" t="s">
        <v>26</v>
      </c>
      <c r="C21" s="380">
        <v>2859.73</v>
      </c>
      <c r="D21" s="380">
        <v>3600.09</v>
      </c>
      <c r="E21" s="380">
        <v>3720.97</v>
      </c>
      <c r="F21" s="380">
        <v>5297.4800000000005</v>
      </c>
      <c r="G21" s="380">
        <v>7119.33</v>
      </c>
      <c r="H21" s="380">
        <v>6881.84</v>
      </c>
      <c r="I21" s="380">
        <v>8618.3000000000011</v>
      </c>
      <c r="J21" s="380">
        <f t="shared" si="8"/>
        <v>2704.0829834713868</v>
      </c>
      <c r="K21" s="380">
        <f t="shared" si="9"/>
        <v>3132.6923076923076</v>
      </c>
      <c r="L21" s="380">
        <f t="shared" si="10"/>
        <v>3052.7779600945128</v>
      </c>
      <c r="M21" s="380">
        <f t="shared" si="11"/>
        <v>3987.9251419021671</v>
      </c>
      <c r="N21" s="380">
        <f t="shared" si="12"/>
        <v>4937.7384139490359</v>
      </c>
      <c r="O21" s="380">
        <f t="shared" si="13"/>
        <v>4453.5735549170358</v>
      </c>
      <c r="P21" s="380">
        <f t="shared" si="14"/>
        <v>5216.6044222772371</v>
      </c>
    </row>
    <row r="22" spans="1:16">
      <c r="A22" s="424">
        <v>3</v>
      </c>
      <c r="B22" s="425" t="s">
        <v>27</v>
      </c>
      <c r="C22" s="380">
        <v>626.89</v>
      </c>
      <c r="D22" s="380">
        <v>773.58</v>
      </c>
      <c r="E22" s="380">
        <v>1395.94</v>
      </c>
      <c r="F22" s="380">
        <v>2107.96</v>
      </c>
      <c r="G22" s="380">
        <v>1886.96</v>
      </c>
      <c r="H22" s="380">
        <v>2694.36</v>
      </c>
      <c r="I22" s="380">
        <v>2632.9100000000003</v>
      </c>
      <c r="J22" s="380">
        <f t="shared" si="8"/>
        <v>592.77015015696509</v>
      </c>
      <c r="K22" s="380">
        <f t="shared" si="9"/>
        <v>673.14653672119744</v>
      </c>
      <c r="L22" s="380">
        <f t="shared" si="10"/>
        <v>1145.264505119454</v>
      </c>
      <c r="M22" s="380">
        <f t="shared" si="11"/>
        <v>1586.8652042337285</v>
      </c>
      <c r="N22" s="380">
        <f t="shared" si="12"/>
        <v>1308.7347935248504</v>
      </c>
      <c r="O22" s="380">
        <f t="shared" si="13"/>
        <v>1743.6514716160598</v>
      </c>
      <c r="P22" s="380">
        <f t="shared" si="14"/>
        <v>1593.6843634426698</v>
      </c>
    </row>
    <row r="23" spans="1:16">
      <c r="A23" s="424">
        <v>4</v>
      </c>
      <c r="B23" s="425" t="s">
        <v>28</v>
      </c>
      <c r="C23" s="380">
        <v>82.7</v>
      </c>
      <c r="D23" s="380">
        <v>202.78</v>
      </c>
      <c r="E23" s="380">
        <v>88.18</v>
      </c>
      <c r="F23" s="380">
        <v>441.06</v>
      </c>
      <c r="G23" s="380">
        <v>238.94</v>
      </c>
      <c r="H23" s="380">
        <v>153.13</v>
      </c>
      <c r="I23" s="380">
        <v>300.45000000000005</v>
      </c>
      <c r="J23" s="380">
        <f t="shared" si="8"/>
        <v>78.198872877189004</v>
      </c>
      <c r="K23" s="380">
        <f t="shared" si="9"/>
        <v>176.45318482422556</v>
      </c>
      <c r="L23" s="380">
        <f t="shared" si="10"/>
        <v>72.345103701759001</v>
      </c>
      <c r="M23" s="380">
        <f t="shared" si="11"/>
        <v>332.02848582483932</v>
      </c>
      <c r="N23" s="380">
        <f t="shared" si="12"/>
        <v>165.72110249545713</v>
      </c>
      <c r="O23" s="380">
        <f t="shared" si="13"/>
        <v>99.097874763790742</v>
      </c>
      <c r="P23" s="380">
        <f t="shared" si="14"/>
        <v>181.86055239121359</v>
      </c>
    </row>
    <row r="24" spans="1:16">
      <c r="A24" s="424">
        <v>5</v>
      </c>
      <c r="B24" s="425" t="s">
        <v>29</v>
      </c>
      <c r="C24" s="380">
        <v>2236.13</v>
      </c>
      <c r="D24" s="380">
        <v>1972.4200000000003</v>
      </c>
      <c r="E24" s="380">
        <v>1724.0500000000002</v>
      </c>
      <c r="F24" s="380">
        <v>2030.3500000000001</v>
      </c>
      <c r="G24" s="380">
        <v>4021.74</v>
      </c>
      <c r="H24" s="380">
        <v>4399.66</v>
      </c>
      <c r="I24" s="380">
        <v>3978.79</v>
      </c>
      <c r="J24" s="380">
        <f t="shared" si="8"/>
        <v>2114.4237679186049</v>
      </c>
      <c r="K24" s="380">
        <f t="shared" si="9"/>
        <v>1716.3418029933869</v>
      </c>
      <c r="L24" s="380">
        <f t="shared" si="10"/>
        <v>1414.4542530847993</v>
      </c>
      <c r="M24" s="380">
        <f t="shared" si="11"/>
        <v>1528.4406570409071</v>
      </c>
      <c r="N24" s="380">
        <f t="shared" si="12"/>
        <v>2789.3495720686351</v>
      </c>
      <c r="O24" s="380">
        <f t="shared" si="13"/>
        <v>2847.2340866143772</v>
      </c>
      <c r="P24" s="380">
        <f t="shared" si="14"/>
        <v>2408.3373181848447</v>
      </c>
    </row>
    <row r="25" spans="1:16">
      <c r="A25" s="424">
        <v>6</v>
      </c>
      <c r="B25" s="425" t="s">
        <v>30</v>
      </c>
      <c r="C25" s="380">
        <v>391.22</v>
      </c>
      <c r="D25" s="380">
        <v>540.31000000000006</v>
      </c>
      <c r="E25" s="380">
        <v>862.48</v>
      </c>
      <c r="F25" s="380">
        <v>678.29000000000008</v>
      </c>
      <c r="G25" s="380">
        <v>1042.25</v>
      </c>
      <c r="H25" s="380">
        <v>889.08</v>
      </c>
      <c r="I25" s="380">
        <v>1135.81</v>
      </c>
      <c r="J25" s="380">
        <f t="shared" si="8"/>
        <v>369.92700177767694</v>
      </c>
      <c r="K25" s="380">
        <f t="shared" si="9"/>
        <v>470.16185172293774</v>
      </c>
      <c r="L25" s="380">
        <f t="shared" si="10"/>
        <v>707.60042005775801</v>
      </c>
      <c r="M25" s="380">
        <f t="shared" si="11"/>
        <v>510.61443261717289</v>
      </c>
      <c r="N25" s="380">
        <f t="shared" si="12"/>
        <v>722.87109347907506</v>
      </c>
      <c r="O25" s="380">
        <f t="shared" si="13"/>
        <v>575.36693329191587</v>
      </c>
      <c r="P25" s="380">
        <f t="shared" si="14"/>
        <v>687.4988650739366</v>
      </c>
    </row>
    <row r="26" spans="1:16">
      <c r="A26" s="424">
        <v>7</v>
      </c>
      <c r="B26" s="425" t="s">
        <v>31</v>
      </c>
      <c r="C26" s="380">
        <v>1229.1600000000001</v>
      </c>
      <c r="D26" s="380">
        <v>1523.8600000000001</v>
      </c>
      <c r="E26" s="380">
        <v>1671.3</v>
      </c>
      <c r="F26" s="380">
        <v>2825.85</v>
      </c>
      <c r="G26" s="380">
        <v>3507.79</v>
      </c>
      <c r="H26" s="380">
        <v>3973.73</v>
      </c>
      <c r="I26" s="380">
        <v>3201.6700000000005</v>
      </c>
      <c r="J26" s="380">
        <f t="shared" si="8"/>
        <v>1162.260297288097</v>
      </c>
      <c r="K26" s="380">
        <f t="shared" si="9"/>
        <v>1326.0180995475114</v>
      </c>
      <c r="L26" s="380">
        <f t="shared" si="10"/>
        <v>1371.1768180624836</v>
      </c>
      <c r="M26" s="380">
        <f t="shared" si="11"/>
        <v>2127.2903837757272</v>
      </c>
      <c r="N26" s="380">
        <f t="shared" si="12"/>
        <v>2432.8903746653532</v>
      </c>
      <c r="O26" s="380">
        <f t="shared" si="13"/>
        <v>2571.594056586679</v>
      </c>
      <c r="P26" s="380">
        <f t="shared" si="14"/>
        <v>1937.9513222645257</v>
      </c>
    </row>
    <row r="27" spans="1:16">
      <c r="A27" s="424">
        <v>8</v>
      </c>
      <c r="B27" s="425" t="s">
        <v>32</v>
      </c>
      <c r="C27" s="380">
        <v>1916.2509600000003</v>
      </c>
      <c r="D27" s="380">
        <v>2020.3724999999999</v>
      </c>
      <c r="E27" s="380">
        <v>2972.7816000000003</v>
      </c>
      <c r="F27" s="380">
        <v>4342.3227000000006</v>
      </c>
      <c r="G27" s="380">
        <v>3464.87</v>
      </c>
      <c r="H27" s="380">
        <v>2561.8500000000004</v>
      </c>
      <c r="I27" s="380">
        <v>3600.3599999999997</v>
      </c>
      <c r="J27" s="380">
        <f t="shared" si="8"/>
        <v>1811.9548394417341</v>
      </c>
      <c r="K27" s="380">
        <f t="shared" si="9"/>
        <v>1758.0686564566654</v>
      </c>
      <c r="L27" s="380">
        <f t="shared" si="10"/>
        <v>2438.9452612234186</v>
      </c>
      <c r="M27" s="380">
        <f t="shared" si="11"/>
        <v>3268.8859362531812</v>
      </c>
      <c r="N27" s="380">
        <f t="shared" si="12"/>
        <v>2403.1224424685465</v>
      </c>
      <c r="O27" s="380">
        <f t="shared" si="13"/>
        <v>1657.8978022831407</v>
      </c>
      <c r="P27" s="380">
        <f t="shared" si="14"/>
        <v>2179.2759474362774</v>
      </c>
    </row>
    <row r="28" spans="1:16">
      <c r="A28" s="424">
        <v>9</v>
      </c>
      <c r="B28" s="425" t="s">
        <v>33</v>
      </c>
      <c r="C28" s="380">
        <v>857.40000000000009</v>
      </c>
      <c r="D28" s="380">
        <v>1288.07</v>
      </c>
      <c r="E28" s="380">
        <v>765.04</v>
      </c>
      <c r="F28" s="380">
        <v>750.09</v>
      </c>
      <c r="G28" s="380">
        <v>1241.58</v>
      </c>
      <c r="H28" s="380">
        <v>1665.75</v>
      </c>
      <c r="I28" s="380">
        <v>1742.37</v>
      </c>
      <c r="J28" s="380">
        <f t="shared" si="8"/>
        <v>810.73414274367417</v>
      </c>
      <c r="K28" s="380">
        <f t="shared" si="9"/>
        <v>1120.8405847546119</v>
      </c>
      <c r="L28" s="380">
        <f t="shared" si="10"/>
        <v>627.6581779994749</v>
      </c>
      <c r="M28" s="380">
        <f t="shared" si="11"/>
        <v>564.66523133440739</v>
      </c>
      <c r="N28" s="380">
        <f t="shared" si="12"/>
        <v>861.11997336699437</v>
      </c>
      <c r="O28" s="380">
        <f t="shared" si="13"/>
        <v>1077.9878853770288</v>
      </c>
      <c r="P28" s="380">
        <f t="shared" si="14"/>
        <v>1054.6459333329296</v>
      </c>
    </row>
    <row r="29" spans="1:16">
      <c r="A29" s="424">
        <v>10</v>
      </c>
      <c r="B29" s="425" t="s">
        <v>34</v>
      </c>
      <c r="C29" s="380">
        <v>2611.98</v>
      </c>
      <c r="D29" s="380">
        <v>2823.78</v>
      </c>
      <c r="E29" s="380">
        <v>3102.44</v>
      </c>
      <c r="F29" s="380">
        <v>4520.91</v>
      </c>
      <c r="G29" s="380">
        <v>5258.52</v>
      </c>
      <c r="H29" s="380">
        <v>6209.5699999999988</v>
      </c>
      <c r="I29" s="380">
        <v>6325.77</v>
      </c>
      <c r="J29" s="380">
        <f t="shared" si="8"/>
        <v>2469.8173153296266</v>
      </c>
      <c r="K29" s="380">
        <f t="shared" si="9"/>
        <v>2457.1702053602507</v>
      </c>
      <c r="L29" s="380">
        <f t="shared" si="10"/>
        <v>2545.3202940404308</v>
      </c>
      <c r="M29" s="380">
        <f t="shared" si="11"/>
        <v>3403.3258555533812</v>
      </c>
      <c r="N29" s="380">
        <f t="shared" si="12"/>
        <v>3647.1404197472639</v>
      </c>
      <c r="O29" s="380">
        <f t="shared" si="13"/>
        <v>4018.5149232481681</v>
      </c>
      <c r="P29" s="380">
        <f t="shared" si="14"/>
        <v>3828.9499966708836</v>
      </c>
    </row>
    <row r="30" spans="1:16">
      <c r="A30" s="424">
        <v>11</v>
      </c>
      <c r="B30" s="425" t="s">
        <v>35</v>
      </c>
      <c r="C30" s="380">
        <v>3779.66</v>
      </c>
      <c r="D30" s="380">
        <v>6682.96</v>
      </c>
      <c r="E30" s="380">
        <v>5396.09</v>
      </c>
      <c r="F30" s="380">
        <v>7392.4599999999991</v>
      </c>
      <c r="G30" s="380">
        <v>7497.42</v>
      </c>
      <c r="H30" s="380">
        <v>4829.7700000000004</v>
      </c>
      <c r="I30" s="380">
        <v>7013.99</v>
      </c>
      <c r="J30" s="380">
        <f t="shared" si="8"/>
        <v>3573.9437951511022</v>
      </c>
      <c r="K30" s="380">
        <f t="shared" si="9"/>
        <v>5815.3150017403414</v>
      </c>
      <c r="L30" s="380">
        <f t="shared" si="10"/>
        <v>4427.0888028353902</v>
      </c>
      <c r="M30" s="380">
        <f t="shared" si="11"/>
        <v>5565.0190457549797</v>
      </c>
      <c r="N30" s="380">
        <f t="shared" si="12"/>
        <v>5199.9694830145227</v>
      </c>
      <c r="O30" s="380">
        <f t="shared" si="13"/>
        <v>3125.5791980533772</v>
      </c>
      <c r="P30" s="380">
        <f t="shared" si="14"/>
        <v>4245.525364840898</v>
      </c>
    </row>
    <row r="31" spans="1:16">
      <c r="A31" s="424">
        <v>12</v>
      </c>
      <c r="B31" s="425" t="s">
        <v>74</v>
      </c>
      <c r="C31" s="380">
        <v>2162.7399999999998</v>
      </c>
      <c r="D31" s="380">
        <v>2750.76</v>
      </c>
      <c r="E31" s="380">
        <v>2776.7436000000007</v>
      </c>
      <c r="F31" s="380">
        <v>3276.4300000000003</v>
      </c>
      <c r="G31" s="380">
        <v>3853.22</v>
      </c>
      <c r="H31" s="380">
        <v>3464.84</v>
      </c>
      <c r="I31" s="380">
        <v>4467.58</v>
      </c>
      <c r="J31" s="380">
        <f t="shared" si="8"/>
        <v>2045.0281780702746</v>
      </c>
      <c r="K31" s="380">
        <f t="shared" si="9"/>
        <v>2393.6303515489039</v>
      </c>
      <c r="L31" s="380">
        <f t="shared" si="10"/>
        <v>2278.1107245996332</v>
      </c>
      <c r="M31" s="380">
        <f t="shared" si="11"/>
        <v>2466.4854936087568</v>
      </c>
      <c r="N31" s="380">
        <f t="shared" si="12"/>
        <v>2672.4695176929154</v>
      </c>
      <c r="O31" s="380">
        <f t="shared" si="13"/>
        <v>2242.2665734772595</v>
      </c>
      <c r="P31" s="380">
        <f t="shared" si="14"/>
        <v>2704.198923787445</v>
      </c>
    </row>
    <row r="32" spans="1:16">
      <c r="A32" s="424">
        <v>13</v>
      </c>
      <c r="B32" s="425" t="s">
        <v>36</v>
      </c>
      <c r="C32" s="380">
        <v>617.66999999999996</v>
      </c>
      <c r="D32" s="380">
        <v>629.45000000000005</v>
      </c>
      <c r="E32" s="380">
        <v>1279.25</v>
      </c>
      <c r="F32" s="380">
        <v>954.65</v>
      </c>
      <c r="G32" s="380">
        <v>1499.67</v>
      </c>
      <c r="H32" s="380">
        <v>2178.06</v>
      </c>
      <c r="I32" s="380">
        <v>1883.8600000000001</v>
      </c>
      <c r="J32" s="380">
        <f t="shared" si="8"/>
        <v>584.05196868262783</v>
      </c>
      <c r="K32" s="380">
        <f t="shared" si="9"/>
        <v>547.72885485555173</v>
      </c>
      <c r="L32" s="380">
        <f t="shared" si="10"/>
        <v>1049.5290758729325</v>
      </c>
      <c r="M32" s="380">
        <f t="shared" si="11"/>
        <v>718.65731191375971</v>
      </c>
      <c r="N32" s="380">
        <f t="shared" si="12"/>
        <v>1040.1229002233288</v>
      </c>
      <c r="O32" s="380">
        <f t="shared" si="13"/>
        <v>1409.5286169138774</v>
      </c>
      <c r="P32" s="380">
        <f t="shared" si="14"/>
        <v>1140.2889673080765</v>
      </c>
    </row>
    <row r="33" spans="1:16">
      <c r="A33" s="424">
        <v>14</v>
      </c>
      <c r="B33" s="425" t="s">
        <v>37</v>
      </c>
      <c r="C33" s="380">
        <v>1768.6100000000001</v>
      </c>
      <c r="D33" s="380">
        <v>2077.63</v>
      </c>
      <c r="E33" s="380">
        <v>1605.8899999999999</v>
      </c>
      <c r="F33" s="380">
        <v>2488.02</v>
      </c>
      <c r="G33" s="380">
        <v>2905.62</v>
      </c>
      <c r="H33" s="380">
        <v>3378.8299999999995</v>
      </c>
      <c r="I33" s="380">
        <v>3591.36</v>
      </c>
      <c r="J33" s="380">
        <f t="shared" si="8"/>
        <v>1672.3495593630621</v>
      </c>
      <c r="K33" s="380">
        <f t="shared" si="9"/>
        <v>1807.8924469195963</v>
      </c>
      <c r="L33" s="380">
        <f t="shared" si="10"/>
        <v>1317.5127986348123</v>
      </c>
      <c r="M33" s="380">
        <f t="shared" si="11"/>
        <v>1872.9730950481039</v>
      </c>
      <c r="N33" s="380">
        <f t="shared" si="12"/>
        <v>2015.2446213813096</v>
      </c>
      <c r="O33" s="380">
        <f t="shared" si="13"/>
        <v>2186.605316973415</v>
      </c>
      <c r="P33" s="380">
        <f t="shared" si="14"/>
        <v>2173.8283023321974</v>
      </c>
    </row>
    <row r="34" spans="1:16">
      <c r="A34" s="424">
        <v>15</v>
      </c>
      <c r="B34" s="425" t="s">
        <v>38</v>
      </c>
      <c r="C34" s="380">
        <v>2165.79</v>
      </c>
      <c r="D34" s="380">
        <v>3377.69</v>
      </c>
      <c r="E34" s="380">
        <v>2253.25</v>
      </c>
      <c r="F34" s="380">
        <v>2141.9</v>
      </c>
      <c r="G34" s="380">
        <v>2561.9</v>
      </c>
      <c r="H34" s="380">
        <v>3473.4799999999996</v>
      </c>
      <c r="I34" s="380">
        <v>3165.46</v>
      </c>
      <c r="J34" s="380">
        <f t="shared" si="8"/>
        <v>2047.9121751957334</v>
      </c>
      <c r="K34" s="380">
        <f t="shared" si="9"/>
        <v>2939.1663766098154</v>
      </c>
      <c r="L34" s="380">
        <f t="shared" si="10"/>
        <v>1848.6233263323707</v>
      </c>
      <c r="M34" s="380">
        <f t="shared" si="11"/>
        <v>1612.4151221788948</v>
      </c>
      <c r="N34" s="380">
        <f t="shared" si="12"/>
        <v>1776.8514793802276</v>
      </c>
      <c r="O34" s="380">
        <f t="shared" si="13"/>
        <v>2247.8579379255002</v>
      </c>
      <c r="P34" s="380">
        <f t="shared" si="14"/>
        <v>1916.033630129109</v>
      </c>
    </row>
    <row r="35" spans="1:16">
      <c r="A35" s="424">
        <v>16</v>
      </c>
      <c r="B35" s="425" t="s">
        <v>39</v>
      </c>
      <c r="C35" s="380">
        <v>2795.49</v>
      </c>
      <c r="D35" s="380">
        <v>5195.76</v>
      </c>
      <c r="E35" s="380">
        <v>5773.3899999999994</v>
      </c>
      <c r="F35" s="380">
        <v>6874.2</v>
      </c>
      <c r="G35" s="380">
        <v>6813.28</v>
      </c>
      <c r="H35" s="380">
        <v>5523.7</v>
      </c>
      <c r="I35" s="380">
        <v>11335.899999999998</v>
      </c>
      <c r="J35" s="380">
        <f t="shared" si="8"/>
        <v>2643.3393849994322</v>
      </c>
      <c r="K35" s="380">
        <f t="shared" si="9"/>
        <v>4521.1973546815179</v>
      </c>
      <c r="L35" s="380">
        <f t="shared" si="10"/>
        <v>4736.6352717248619</v>
      </c>
      <c r="M35" s="380">
        <f t="shared" si="11"/>
        <v>5174.8746593595206</v>
      </c>
      <c r="N35" s="380">
        <f t="shared" si="12"/>
        <v>4725.4719729231101</v>
      </c>
      <c r="O35" s="380">
        <f t="shared" si="13"/>
        <v>3574.6550697626258</v>
      </c>
      <c r="P35" s="380">
        <f t="shared" si="14"/>
        <v>6861.5511261493002</v>
      </c>
    </row>
    <row r="36" spans="1:16">
      <c r="A36" s="424">
        <v>17</v>
      </c>
      <c r="B36" s="425" t="s">
        <v>40</v>
      </c>
      <c r="C36" s="380">
        <v>2420.8999999999996</v>
      </c>
      <c r="D36" s="380">
        <v>3015.94</v>
      </c>
      <c r="E36" s="380">
        <v>2733.4799999999996</v>
      </c>
      <c r="F36" s="380">
        <v>4162.96</v>
      </c>
      <c r="G36" s="380">
        <v>4563.2299999999996</v>
      </c>
      <c r="H36" s="380">
        <v>3771.91</v>
      </c>
      <c r="I36" s="380">
        <v>6759.41</v>
      </c>
      <c r="J36" s="380">
        <f t="shared" si="8"/>
        <v>2289.1372593517149</v>
      </c>
      <c r="K36" s="380">
        <f t="shared" si="9"/>
        <v>2624.3821789070657</v>
      </c>
      <c r="L36" s="380">
        <f t="shared" si="10"/>
        <v>2242.6161722236807</v>
      </c>
      <c r="M36" s="380">
        <f t="shared" si="11"/>
        <v>3133.8622984387002</v>
      </c>
      <c r="N36" s="380">
        <f t="shared" si="12"/>
        <v>3164.9096281089173</v>
      </c>
      <c r="O36" s="380">
        <f t="shared" si="13"/>
        <v>2440.986513421863</v>
      </c>
      <c r="P36" s="380">
        <f t="shared" si="14"/>
        <v>4091.4296436634804</v>
      </c>
    </row>
    <row r="37" spans="1:16">
      <c r="A37" s="421"/>
      <c r="B37" s="422" t="s">
        <v>192</v>
      </c>
      <c r="C37" s="384">
        <f t="shared" ref="C37:P37" si="15">SUM(C20:C36)</f>
        <v>32314.740959999996</v>
      </c>
      <c r="D37" s="384">
        <f t="shared" si="15"/>
        <v>42514.892500000009</v>
      </c>
      <c r="E37" s="384">
        <f t="shared" si="15"/>
        <v>42375.655199999994</v>
      </c>
      <c r="F37" s="384">
        <f t="shared" si="15"/>
        <v>53603.522699999994</v>
      </c>
      <c r="G37" s="384">
        <f t="shared" si="15"/>
        <v>63301.649999999994</v>
      </c>
      <c r="H37" s="384">
        <f t="shared" si="15"/>
        <v>61942.939999999988</v>
      </c>
      <c r="I37" s="384">
        <f t="shared" si="15"/>
        <v>75024.100000000006</v>
      </c>
      <c r="J37" s="384">
        <f t="shared" si="15"/>
        <v>30555.940996255529</v>
      </c>
      <c r="K37" s="384">
        <f t="shared" si="15"/>
        <v>36995.207535676993</v>
      </c>
      <c r="L37" s="384">
        <f t="shared" si="15"/>
        <v>34766.059989498557</v>
      </c>
      <c r="M37" s="384">
        <f t="shared" si="15"/>
        <v>40352.551754768967</v>
      </c>
      <c r="N37" s="384">
        <f t="shared" si="15"/>
        <v>43903.989402283216</v>
      </c>
      <c r="O37" s="384">
        <f t="shared" si="15"/>
        <v>40086.290802723197</v>
      </c>
      <c r="P37" s="384">
        <f t="shared" si="15"/>
        <v>45411.630117003304</v>
      </c>
    </row>
    <row r="38" spans="1:16">
      <c r="A38" s="421"/>
      <c r="B38" s="422" t="s">
        <v>86</v>
      </c>
      <c r="C38" s="384">
        <f t="shared" ref="C38:P38" si="16">C37+C18</f>
        <v>49396.350959999996</v>
      </c>
      <c r="D38" s="384">
        <f t="shared" si="16"/>
        <v>61699.991500000011</v>
      </c>
      <c r="E38" s="384">
        <f t="shared" si="16"/>
        <v>68077.143299999996</v>
      </c>
      <c r="F38" s="384">
        <f t="shared" si="16"/>
        <v>82175.406799999997</v>
      </c>
      <c r="G38" s="384">
        <f t="shared" si="16"/>
        <v>97250.45</v>
      </c>
      <c r="H38" s="384">
        <f t="shared" si="16"/>
        <v>103111.02999999998</v>
      </c>
      <c r="I38" s="384">
        <f t="shared" si="16"/>
        <v>123644.99</v>
      </c>
      <c r="J38" s="384">
        <f t="shared" si="16"/>
        <v>46707.847271076818</v>
      </c>
      <c r="K38" s="384">
        <f t="shared" si="16"/>
        <v>53689.515750087012</v>
      </c>
      <c r="L38" s="384">
        <f t="shared" si="16"/>
        <v>55852.211292333945</v>
      </c>
      <c r="M38" s="384">
        <f t="shared" si="16"/>
        <v>61861.370089883923</v>
      </c>
      <c r="N38" s="384">
        <f t="shared" si="16"/>
        <v>67449.785687533804</v>
      </c>
      <c r="O38" s="384">
        <f t="shared" si="16"/>
        <v>66728.165204110686</v>
      </c>
      <c r="P38" s="384">
        <f t="shared" si="16"/>
        <v>74841.558268617315</v>
      </c>
    </row>
    <row r="39" spans="1:16">
      <c r="A39" s="421" t="s">
        <v>231</v>
      </c>
      <c r="B39" s="422" t="s">
        <v>268</v>
      </c>
      <c r="C39" s="384"/>
      <c r="D39" s="384"/>
      <c r="E39" s="384"/>
      <c r="F39" s="384"/>
      <c r="G39" s="384"/>
      <c r="H39" s="384"/>
      <c r="I39" s="384"/>
      <c r="J39" s="384"/>
      <c r="K39" s="384"/>
      <c r="L39" s="384"/>
      <c r="M39" s="384"/>
      <c r="N39" s="384"/>
      <c r="O39" s="384"/>
      <c r="P39" s="384"/>
    </row>
    <row r="40" spans="1:16">
      <c r="A40" s="424">
        <v>1</v>
      </c>
      <c r="B40" s="425" t="s">
        <v>233</v>
      </c>
      <c r="C40" s="380">
        <v>720.30000000000007</v>
      </c>
      <c r="D40" s="380">
        <v>793.1</v>
      </c>
      <c r="E40" s="380">
        <v>1472.23</v>
      </c>
      <c r="F40" s="380">
        <v>1080.51</v>
      </c>
      <c r="G40" s="380">
        <v>734.56</v>
      </c>
      <c r="H40" s="380">
        <v>868.73</v>
      </c>
      <c r="I40" s="380">
        <v>783.2</v>
      </c>
      <c r="J40" s="380">
        <f t="shared" ref="J40:P41" si="17">+C40/C$46</f>
        <v>681.09610802223995</v>
      </c>
      <c r="K40" s="380">
        <f t="shared" si="17"/>
        <v>690.13226592412116</v>
      </c>
      <c r="L40" s="380">
        <f t="shared" si="17"/>
        <v>1207.8547519033868</v>
      </c>
      <c r="M40" s="380">
        <f t="shared" si="17"/>
        <v>813.40429696321837</v>
      </c>
      <c r="N40" s="380">
        <f t="shared" si="17"/>
        <v>509.46720117629098</v>
      </c>
      <c r="O40" s="380">
        <f t="shared" si="17"/>
        <v>562.19745800005182</v>
      </c>
      <c r="P40" s="380">
        <f t="shared" si="17"/>
        <v>474.06618283507561</v>
      </c>
    </row>
    <row r="41" spans="1:16">
      <c r="A41" s="424">
        <v>2</v>
      </c>
      <c r="B41" s="425" t="s">
        <v>44</v>
      </c>
      <c r="C41" s="380">
        <v>257.49</v>
      </c>
      <c r="D41" s="380">
        <v>156.91</v>
      </c>
      <c r="E41" s="380">
        <v>218.21</v>
      </c>
      <c r="F41" s="380">
        <v>180.42</v>
      </c>
      <c r="G41" s="380">
        <v>379.77</v>
      </c>
      <c r="H41" s="380">
        <v>546.44000000000005</v>
      </c>
      <c r="I41" s="380">
        <v>1143.7</v>
      </c>
      <c r="J41" s="380">
        <f t="shared" si="17"/>
        <v>243.47554748666741</v>
      </c>
      <c r="K41" s="380">
        <f t="shared" si="17"/>
        <v>136.53846153846155</v>
      </c>
      <c r="L41" s="380">
        <f t="shared" si="17"/>
        <v>179.02500656340248</v>
      </c>
      <c r="M41" s="380">
        <f t="shared" si="17"/>
        <v>135.81956970144086</v>
      </c>
      <c r="N41" s="380">
        <f t="shared" si="17"/>
        <v>263.3962630564148</v>
      </c>
      <c r="O41" s="380">
        <f t="shared" si="17"/>
        <v>353.62791540472682</v>
      </c>
      <c r="P41" s="380">
        <f t="shared" si="17"/>
        <v>692.27463394851372</v>
      </c>
    </row>
    <row r="42" spans="1:16" s="300" customFormat="1" ht="15">
      <c r="A42" s="437"/>
      <c r="B42" s="428" t="s">
        <v>234</v>
      </c>
      <c r="C42" s="384">
        <f t="shared" ref="C42:M42" si="18">SUM(C40:C41)</f>
        <v>977.79000000000008</v>
      </c>
      <c r="D42" s="384">
        <f t="shared" si="18"/>
        <v>950.01</v>
      </c>
      <c r="E42" s="384">
        <f t="shared" si="18"/>
        <v>1690.44</v>
      </c>
      <c r="F42" s="384">
        <f t="shared" si="18"/>
        <v>1260.93</v>
      </c>
      <c r="G42" s="384">
        <f t="shared" si="18"/>
        <v>1114.33</v>
      </c>
      <c r="H42" s="384">
        <f t="shared" si="18"/>
        <v>1415.17</v>
      </c>
      <c r="I42" s="384">
        <f t="shared" si="18"/>
        <v>1926.9</v>
      </c>
      <c r="J42" s="384">
        <f t="shared" si="18"/>
        <v>924.57165550890738</v>
      </c>
      <c r="K42" s="384">
        <f t="shared" si="18"/>
        <v>826.6707274625827</v>
      </c>
      <c r="L42" s="384">
        <f t="shared" si="18"/>
        <v>1386.8797584667893</v>
      </c>
      <c r="M42" s="384">
        <f t="shared" si="18"/>
        <v>949.22386666465923</v>
      </c>
      <c r="N42" s="384">
        <f>+G42/G$46</f>
        <v>772.86346423270584</v>
      </c>
      <c r="O42" s="384">
        <f>+H42/H$46</f>
        <v>915.82537340477859</v>
      </c>
      <c r="P42" s="384">
        <f>+I42/I$46</f>
        <v>1166.3408167835894</v>
      </c>
    </row>
    <row r="43" spans="1:16" s="300" customFormat="1" ht="15">
      <c r="A43" s="433"/>
      <c r="B43" s="428" t="s">
        <v>249</v>
      </c>
      <c r="C43" s="384">
        <f t="shared" ref="C43:P43" si="19">C38+C42</f>
        <v>50374.140959999997</v>
      </c>
      <c r="D43" s="384">
        <f t="shared" si="19"/>
        <v>62650.001500000013</v>
      </c>
      <c r="E43" s="384">
        <f t="shared" si="19"/>
        <v>69767.583299999998</v>
      </c>
      <c r="F43" s="384">
        <f t="shared" si="19"/>
        <v>83436.33679999999</v>
      </c>
      <c r="G43" s="384">
        <f t="shared" si="19"/>
        <v>98364.78</v>
      </c>
      <c r="H43" s="384">
        <f t="shared" si="19"/>
        <v>104526.19999999998</v>
      </c>
      <c r="I43" s="384">
        <f t="shared" si="19"/>
        <v>125571.89</v>
      </c>
      <c r="J43" s="384">
        <f t="shared" si="19"/>
        <v>47632.418926585728</v>
      </c>
      <c r="K43" s="384">
        <f t="shared" si="19"/>
        <v>54516.186477549592</v>
      </c>
      <c r="L43" s="384">
        <f t="shared" si="19"/>
        <v>57239.091050800736</v>
      </c>
      <c r="M43" s="384">
        <f t="shared" si="19"/>
        <v>62810.593956548582</v>
      </c>
      <c r="N43" s="384">
        <f t="shared" si="19"/>
        <v>68222.649151766513</v>
      </c>
      <c r="O43" s="384">
        <f t="shared" si="19"/>
        <v>67643.990577515462</v>
      </c>
      <c r="P43" s="384">
        <f t="shared" si="19"/>
        <v>76007.899085400903</v>
      </c>
    </row>
    <row r="44" spans="1:16">
      <c r="B44" s="545" t="s">
        <v>258</v>
      </c>
      <c r="C44" s="545"/>
      <c r="D44" s="545"/>
      <c r="E44" s="545"/>
      <c r="F44" s="545"/>
      <c r="G44" s="545"/>
      <c r="H44" s="545"/>
      <c r="I44" s="545"/>
      <c r="J44" s="545"/>
      <c r="K44" s="545"/>
      <c r="L44" s="545"/>
    </row>
    <row r="45" spans="1:16">
      <c r="B45" s="296"/>
      <c r="C45" s="297" t="s">
        <v>48</v>
      </c>
      <c r="D45" s="297" t="s">
        <v>49</v>
      </c>
      <c r="E45" s="297" t="s">
        <v>5</v>
      </c>
      <c r="F45" s="297" t="s">
        <v>6</v>
      </c>
      <c r="G45" s="298" t="s">
        <v>7</v>
      </c>
      <c r="H45" s="299" t="s">
        <v>122</v>
      </c>
      <c r="I45" s="299" t="s">
        <v>139</v>
      </c>
    </row>
    <row r="46" spans="1:16">
      <c r="B46" s="300" t="s">
        <v>216</v>
      </c>
      <c r="C46" s="301">
        <v>1.0575600000000001</v>
      </c>
      <c r="D46" s="301">
        <v>1.1492</v>
      </c>
      <c r="E46" s="301">
        <v>1.21888</v>
      </c>
      <c r="F46" s="301">
        <v>1.3283799999999999</v>
      </c>
      <c r="G46" s="301">
        <v>1.4418200000000001</v>
      </c>
      <c r="H46" s="302">
        <v>1.5452399999999999</v>
      </c>
      <c r="I46" s="302">
        <v>1.6520900000000001</v>
      </c>
    </row>
    <row r="47" spans="1:16">
      <c r="C47" s="301">
        <v>257.49</v>
      </c>
      <c r="D47" s="301">
        <v>156.9</v>
      </c>
      <c r="E47" s="301"/>
      <c r="F47" s="301"/>
      <c r="G47" s="301"/>
      <c r="H47" s="301"/>
      <c r="I47" s="301"/>
    </row>
    <row r="50" spans="3:10">
      <c r="C50" s="418"/>
      <c r="D50" s="418"/>
      <c r="E50" s="418"/>
      <c r="F50" s="418"/>
      <c r="G50" s="418"/>
      <c r="H50" s="418"/>
      <c r="I50" s="418"/>
      <c r="J50" s="418"/>
    </row>
    <row r="51" spans="3:10">
      <c r="C51" s="418"/>
      <c r="D51" s="418"/>
      <c r="E51" s="418"/>
      <c r="F51" s="418"/>
      <c r="G51" s="418"/>
      <c r="H51" s="418"/>
      <c r="I51" s="418"/>
      <c r="J51" s="418"/>
    </row>
    <row r="53" spans="3:10">
      <c r="C53" s="418"/>
      <c r="D53" s="418"/>
      <c r="E53" s="418"/>
      <c r="F53" s="418"/>
      <c r="G53" s="418"/>
      <c r="H53" s="418"/>
      <c r="I53" s="418"/>
      <c r="J53" s="418"/>
    </row>
  </sheetData>
  <mergeCells count="7">
    <mergeCell ref="A1:P1"/>
    <mergeCell ref="O2:P2"/>
    <mergeCell ref="B44:L44"/>
    <mergeCell ref="A3:A4"/>
    <mergeCell ref="B3:B4"/>
    <mergeCell ref="C3:H3"/>
    <mergeCell ref="J3:P3"/>
  </mergeCells>
  <phoneticPr fontId="42" type="noConversion"/>
  <printOptions horizontalCentered="1"/>
  <pageMargins left="0.23622047244094491" right="0.27559055118110237" top="0.78740157480314965" bottom="0.39370078740157483" header="0" footer="0"/>
  <pageSetup paperSize="9" scale="68" orientation="landscape" horizontalDpi="4294967295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P52"/>
  <sheetViews>
    <sheetView view="pageBreakPreview" zoomScaleNormal="100" workbookViewId="0">
      <pane xSplit="2" ySplit="5" topLeftCell="C6" activePane="bottomRight" state="frozen"/>
      <selection activeCell="J4" sqref="J4:P5"/>
      <selection pane="topRight" activeCell="J4" sqref="J4:P5"/>
      <selection pane="bottomLeft" activeCell="J4" sqref="J4:P5"/>
      <selection pane="bottomRight" activeCell="A2" sqref="A2"/>
    </sheetView>
  </sheetViews>
  <sheetFormatPr defaultRowHeight="15.75"/>
  <cols>
    <col min="1" max="1" width="5.28515625" style="441" customWidth="1"/>
    <col min="2" max="2" width="35.28515625" style="442" customWidth="1"/>
    <col min="3" max="15" width="12.42578125" style="296" customWidth="1"/>
    <col min="16" max="16" width="12.5703125" style="296" customWidth="1"/>
    <col min="17" max="16384" width="9.140625" style="296"/>
  </cols>
  <sheetData>
    <row r="1" spans="1:16" s="409" customFormat="1" ht="24" customHeight="1">
      <c r="A1" s="540" t="s">
        <v>323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</row>
    <row r="2" spans="1:16" s="409" customFormat="1" ht="24" customHeight="1">
      <c r="A2" s="374"/>
      <c r="B2" s="122">
        <v>41834</v>
      </c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407"/>
      <c r="O2" s="558" t="s">
        <v>265</v>
      </c>
      <c r="P2" s="558"/>
    </row>
    <row r="3" spans="1:16" s="409" customFormat="1" ht="24" customHeight="1">
      <c r="A3" s="560" t="s">
        <v>71</v>
      </c>
      <c r="B3" s="557" t="s">
        <v>85</v>
      </c>
      <c r="C3" s="561" t="s">
        <v>272</v>
      </c>
      <c r="D3" s="562"/>
      <c r="E3" s="562"/>
      <c r="F3" s="562"/>
      <c r="G3" s="562"/>
      <c r="H3" s="562"/>
      <c r="I3" s="563"/>
      <c r="J3" s="555" t="s">
        <v>273</v>
      </c>
      <c r="K3" s="555"/>
      <c r="L3" s="555"/>
      <c r="M3" s="555"/>
      <c r="N3" s="555"/>
      <c r="O3" s="555"/>
      <c r="P3" s="555"/>
    </row>
    <row r="4" spans="1:16" s="409" customFormat="1" ht="15" customHeight="1">
      <c r="A4" s="560"/>
      <c r="B4" s="557"/>
      <c r="C4" s="375" t="s">
        <v>48</v>
      </c>
      <c r="D4" s="375" t="s">
        <v>49</v>
      </c>
      <c r="E4" s="375" t="s">
        <v>5</v>
      </c>
      <c r="F4" s="375" t="s">
        <v>6</v>
      </c>
      <c r="G4" s="375" t="s">
        <v>7</v>
      </c>
      <c r="H4" s="375" t="s">
        <v>122</v>
      </c>
      <c r="I4" s="375" t="s">
        <v>139</v>
      </c>
      <c r="J4" s="375" t="s">
        <v>48</v>
      </c>
      <c r="K4" s="375" t="s">
        <v>49</v>
      </c>
      <c r="L4" s="375" t="s">
        <v>5</v>
      </c>
      <c r="M4" s="375" t="s">
        <v>6</v>
      </c>
      <c r="N4" s="375" t="s">
        <v>7</v>
      </c>
      <c r="O4" s="375" t="s">
        <v>122</v>
      </c>
      <c r="P4" s="375" t="s">
        <v>139</v>
      </c>
    </row>
    <row r="5" spans="1:16" s="409" customFormat="1" ht="15">
      <c r="A5" s="440"/>
      <c r="B5" s="440"/>
      <c r="C5" s="375" t="s">
        <v>8</v>
      </c>
      <c r="D5" s="375" t="s">
        <v>8</v>
      </c>
      <c r="E5" s="375" t="s">
        <v>8</v>
      </c>
      <c r="F5" s="375" t="s">
        <v>8</v>
      </c>
      <c r="G5" s="375" t="s">
        <v>253</v>
      </c>
      <c r="H5" s="375" t="s">
        <v>224</v>
      </c>
      <c r="I5" s="375" t="s">
        <v>225</v>
      </c>
      <c r="J5" s="375" t="s">
        <v>8</v>
      </c>
      <c r="K5" s="375" t="s">
        <v>8</v>
      </c>
      <c r="L5" s="375" t="s">
        <v>8</v>
      </c>
      <c r="M5" s="375" t="s">
        <v>8</v>
      </c>
      <c r="N5" s="375" t="s">
        <v>253</v>
      </c>
      <c r="O5" s="375" t="s">
        <v>224</v>
      </c>
      <c r="P5" s="375" t="s">
        <v>225</v>
      </c>
    </row>
    <row r="6" spans="1:16">
      <c r="A6" s="421" t="s">
        <v>226</v>
      </c>
      <c r="B6" s="422" t="s">
        <v>227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</row>
    <row r="7" spans="1:16">
      <c r="A7" s="424">
        <v>1</v>
      </c>
      <c r="B7" s="425" t="s">
        <v>12</v>
      </c>
      <c r="C7" s="401">
        <f ca="1">+'Central Assistance'!C7/'Aggregate As% of GSDP'!K6*100</f>
        <v>24.639708939708939</v>
      </c>
      <c r="D7" s="401">
        <f ca="1">+'Central Assistance'!D7/'Aggregate As% of GSDP'!L6*100</f>
        <v>31.905925795674346</v>
      </c>
      <c r="E7" s="401">
        <f ca="1">+'Central Assistance'!E7/'Aggregate As% of GSDP'!M6*100</f>
        <v>29.020069574525021</v>
      </c>
      <c r="F7" s="401">
        <f ca="1">+'Central Assistance'!F7/'Aggregate As% of GSDP'!N6*100</f>
        <v>23.238877177410409</v>
      </c>
      <c r="G7" s="401">
        <f ca="1">+'Central Assistance'!G7/'Aggregate As% of GSDP'!O6*100</f>
        <v>25.490818344476878</v>
      </c>
      <c r="H7" s="401">
        <f ca="1">+'Central Assistance'!H7/'Aggregate As% of GSDP'!P6*100</f>
        <v>23.110164585228681</v>
      </c>
      <c r="I7" s="401">
        <f ca="1">+'Central Assistance'!I7/'Aggregate As% of GSDP'!Q6*100</f>
        <v>23.741966821102974</v>
      </c>
      <c r="J7" s="401">
        <f ca="1">+'Central Assistance'!C7/'Aggregate Resources'!C7*100</f>
        <v>80.621067310635681</v>
      </c>
      <c r="K7" s="401">
        <f ca="1">+'Central Assistance'!D7/'Aggregate Resources'!D7*100</f>
        <v>86.423216514093568</v>
      </c>
      <c r="L7" s="401">
        <f ca="1">+'Central Assistance'!E7/'Aggregate Resources'!E7*100</f>
        <v>102.35433468455501</v>
      </c>
      <c r="M7" s="401">
        <f ca="1">+'Central Assistance'!F7/'Aggregate Resources'!F7*100</f>
        <v>102.89599473366182</v>
      </c>
      <c r="N7" s="401">
        <f ca="1">+'Central Assistance'!G7/'Aggregate Resources'!G7*100</f>
        <v>138.77328165613127</v>
      </c>
      <c r="O7" s="401">
        <f ca="1">+'Central Assistance'!H7/'Aggregate Resources'!H7*100</f>
        <v>97.152443370477897</v>
      </c>
      <c r="P7" s="401">
        <f ca="1">+'Central Assistance'!I7/'Aggregate Resources'!I7*100</f>
        <v>85.868918918918908</v>
      </c>
    </row>
    <row r="8" spans="1:16">
      <c r="A8" s="424">
        <v>2</v>
      </c>
      <c r="B8" s="425" t="s">
        <v>13</v>
      </c>
      <c r="C8" s="401">
        <f ca="1">+'Central Assistance'!C8/'Aggregate As% of GSDP'!K7*100</f>
        <v>4.0128454049186786</v>
      </c>
      <c r="D8" s="401">
        <f ca="1">+'Central Assistance'!D8/'Aggregate As% of GSDP'!L7*100</f>
        <v>4.7601820558995485</v>
      </c>
      <c r="E8" s="401">
        <f ca="1">+'Central Assistance'!E8/'Aggregate As% of GSDP'!M7*100</f>
        <v>3.5514144308413655</v>
      </c>
      <c r="F8" s="401">
        <f ca="1">+'Central Assistance'!F8/'Aggregate As% of GSDP'!N7*100</f>
        <v>3.7965976856453221</v>
      </c>
      <c r="G8" s="401">
        <f ca="1">+'Central Assistance'!G8/'Aggregate As% of GSDP'!O7*100</f>
        <v>4.3837227785725643</v>
      </c>
      <c r="H8" s="401">
        <f ca="1">+'Central Assistance'!H8/'Aggregate As% of GSDP'!P7*100</f>
        <v>5.5507798984613856</v>
      </c>
      <c r="I8" s="401">
        <f ca="1">+'Central Assistance'!I8/'Aggregate As% of GSDP'!Q7*100</f>
        <v>5.4552357179745705</v>
      </c>
      <c r="J8" s="401">
        <f ca="1">+'Central Assistance'!C8/'Aggregate Resources'!C8*100</f>
        <v>63.525971263561424</v>
      </c>
      <c r="K8" s="401">
        <f ca="1">+'Central Assistance'!D8/'Aggregate Resources'!D8*100</f>
        <v>54.638341851542485</v>
      </c>
      <c r="L8" s="401">
        <f ca="1">+'Central Assistance'!E8/'Aggregate Resources'!E8*100</f>
        <v>54.467631544043527</v>
      </c>
      <c r="M8" s="401">
        <f ca="1">+'Central Assistance'!F8/'Aggregate Resources'!F8*100</f>
        <v>55.962197514715498</v>
      </c>
      <c r="N8" s="401">
        <f ca="1">+'Central Assistance'!G8/'Aggregate Resources'!G8*100</f>
        <v>61.51361684141029</v>
      </c>
      <c r="O8" s="401">
        <f ca="1">+'Central Assistance'!H8/'Aggregate Resources'!H8*100</f>
        <v>74.867333333333335</v>
      </c>
      <c r="P8" s="401">
        <f ca="1">+'Central Assistance'!I8/'Aggregate Resources'!I8*100</f>
        <v>70.984399999999994</v>
      </c>
    </row>
    <row r="9" spans="1:16">
      <c r="A9" s="424">
        <v>3</v>
      </c>
      <c r="B9" s="425" t="s">
        <v>14</v>
      </c>
      <c r="C9" s="401">
        <f ca="1">+'Central Assistance'!C9/'Aggregate As% of GSDP'!K8*100</f>
        <v>4.3835055796013309</v>
      </c>
      <c r="D9" s="401">
        <f ca="1">+'Central Assistance'!D9/'Aggregate As% of GSDP'!L8*100</f>
        <v>4.0989561989248608</v>
      </c>
      <c r="E9" s="401">
        <f ca="1">+'Central Assistance'!E9/'Aggregate As% of GSDP'!M8*100</f>
        <v>4.6545477183589616</v>
      </c>
      <c r="F9" s="401">
        <f ca="1">+'Central Assistance'!F9/'Aggregate As% of GSDP'!N8*100</f>
        <v>4.6359221611084029</v>
      </c>
      <c r="G9" s="401">
        <f ca="1">+'Central Assistance'!G9/'Aggregate As% of GSDP'!O8*100</f>
        <v>5.145542435765198</v>
      </c>
      <c r="H9" s="401">
        <f ca="1">+'Central Assistance'!H9/'Aggregate As% of GSDP'!P8*100</f>
        <v>5.7949531949531954</v>
      </c>
      <c r="I9" s="401">
        <f ca="1">+'Central Assistance'!I9/'Aggregate As% of GSDP'!Q8*100</f>
        <v>4.6200036326209357</v>
      </c>
      <c r="J9" s="401">
        <f ca="1">+'Central Assistance'!C9/'Aggregate Resources'!C9*100</f>
        <v>53.849631783786911</v>
      </c>
      <c r="K9" s="401">
        <f ca="1">+'Central Assistance'!D9/'Aggregate Resources'!D9*100</f>
        <v>85.893323499845934</v>
      </c>
      <c r="L9" s="401">
        <f ca="1">+'Central Assistance'!E9/'Aggregate Resources'!E9*100</f>
        <v>100.68138971182334</v>
      </c>
      <c r="M9" s="401">
        <f ca="1">+'Central Assistance'!F9/'Aggregate Resources'!F9*100</f>
        <v>87.69302190819235</v>
      </c>
      <c r="N9" s="401">
        <f ca="1">+'Central Assistance'!G9/'Aggregate Resources'!G9*100</f>
        <v>101.98670848996727</v>
      </c>
      <c r="O9" s="401">
        <f ca="1">+'Central Assistance'!H9/'Aggregate Resources'!H9*100</f>
        <v>105.93504705926119</v>
      </c>
      <c r="P9" s="401">
        <f ca="1">+'Central Assistance'!I9/'Aggregate Resources'!I9*100</f>
        <v>93.059268292682901</v>
      </c>
    </row>
    <row r="10" spans="1:16">
      <c r="A10" s="424">
        <v>4</v>
      </c>
      <c r="B10" s="425" t="s">
        <v>228</v>
      </c>
      <c r="C10" s="401">
        <f ca="1">+'Central Assistance'!C10/'Aggregate As% of GSDP'!K9*100</f>
        <v>12.042319199978436</v>
      </c>
      <c r="D10" s="401">
        <f ca="1">+'Central Assistance'!D10/'Aggregate As% of GSDP'!L9*100</f>
        <v>9.9303792981212329</v>
      </c>
      <c r="E10" s="401">
        <f ca="1">+'Central Assistance'!E10/'Aggregate As% of GSDP'!M9*100</f>
        <v>16.013144569598019</v>
      </c>
      <c r="F10" s="401">
        <f ca="1">+'Central Assistance'!F10/'Aggregate As% of GSDP'!N9*100</f>
        <v>13.226318599004703</v>
      </c>
      <c r="G10" s="401">
        <f ca="1">+'Central Assistance'!G10/'Aggregate As% of GSDP'!O9*100</f>
        <v>13.900682796271232</v>
      </c>
      <c r="H10" s="401">
        <f ca="1">+'Central Assistance'!H10/'Aggregate As% of GSDP'!P9*100</f>
        <v>12.679241538095109</v>
      </c>
      <c r="I10" s="401">
        <f ca="1">+'Central Assistance'!I10/'Aggregate As% of GSDP'!Q9*100</f>
        <v>11.906549548208293</v>
      </c>
      <c r="J10" s="401">
        <f ca="1">+'Central Assistance'!C10/'Aggregate Resources'!C10*100</f>
        <v>107.27899242396958</v>
      </c>
      <c r="K10" s="401">
        <f ca="1">+'Central Assistance'!D10/'Aggregate Resources'!D10*100</f>
        <v>83.937556805129702</v>
      </c>
      <c r="L10" s="401">
        <f ca="1">+'Central Assistance'!E10/'Aggregate Resources'!E10*100</f>
        <v>115.84158267809539</v>
      </c>
      <c r="M10" s="401">
        <f ca="1">+'Central Assistance'!F10/'Aggregate Resources'!F10*100</f>
        <v>133.16320073508382</v>
      </c>
      <c r="N10" s="401">
        <f ca="1">+'Central Assistance'!G10/'Aggregate Resources'!G10*100</f>
        <v>138.33031177077692</v>
      </c>
      <c r="O10" s="401">
        <f ca="1">+'Central Assistance'!H10/'Aggregate Resources'!H10*100</f>
        <v>139.6628168652783</v>
      </c>
      <c r="P10" s="401">
        <f ca="1">+'Central Assistance'!I10/'Aggregate Resources'!I10*100</f>
        <v>142.42027397260276</v>
      </c>
    </row>
    <row r="11" spans="1:16">
      <c r="A11" s="424">
        <v>5</v>
      </c>
      <c r="B11" s="425" t="s">
        <v>16</v>
      </c>
      <c r="C11" s="401">
        <f ca="1">+'Central Assistance'!C11/'Aggregate As% of GSDP'!K10*100</f>
        <v>20.900928792569658</v>
      </c>
      <c r="D11" s="401">
        <f ca="1">+'Central Assistance'!D11/'Aggregate As% of GSDP'!L10*100</f>
        <v>20.15177726719827</v>
      </c>
      <c r="E11" s="401">
        <f ca="1">+'Central Assistance'!E11/'Aggregate As% of GSDP'!M10*100</f>
        <v>17.164283983523141</v>
      </c>
      <c r="F11" s="401">
        <f ca="1">+'Central Assistance'!F11/'Aggregate As% of GSDP'!N10*100</f>
        <v>22.263543832767866</v>
      </c>
      <c r="G11" s="401">
        <f ca="1">+'Central Assistance'!G11/'Aggregate As% of GSDP'!O10*100</f>
        <v>19.437357197258187</v>
      </c>
      <c r="H11" s="401">
        <f ca="1">+'Central Assistance'!H11/'Aggregate As% of GSDP'!P10*100</f>
        <v>22.704247684219311</v>
      </c>
      <c r="I11" s="401">
        <f ca="1">+'Central Assistance'!I11/'Aggregate As% of GSDP'!Q10*100</f>
        <v>27.881523219607026</v>
      </c>
      <c r="J11" s="401">
        <f ca="1">+'Central Assistance'!C11/'Aggregate Resources'!C11*100</f>
        <v>108.73343355012888</v>
      </c>
      <c r="K11" s="401">
        <f ca="1">+'Central Assistance'!D11/'Aggregate Resources'!D11*100</f>
        <v>93.066643364063481</v>
      </c>
      <c r="L11" s="401">
        <f ca="1">+'Central Assistance'!E11/'Aggregate Resources'!E11*100</f>
        <v>76.445830590418964</v>
      </c>
      <c r="M11" s="401">
        <f ca="1">+'Central Assistance'!F11/'Aggregate Resources'!F11*100</f>
        <v>71.767208684515978</v>
      </c>
      <c r="N11" s="401">
        <f ca="1">+'Central Assistance'!G11/'Aggregate Resources'!G11*100</f>
        <v>125.46009819524755</v>
      </c>
      <c r="O11" s="401">
        <f ca="1">+'Central Assistance'!H11/'Aggregate Resources'!H11*100</f>
        <v>112.35112902426536</v>
      </c>
      <c r="P11" s="401">
        <f ca="1">+'Central Assistance'!I11/'Aggregate Resources'!I11*100</f>
        <v>102.61260273972603</v>
      </c>
    </row>
    <row r="12" spans="1:16">
      <c r="A12" s="424">
        <v>6</v>
      </c>
      <c r="B12" s="425" t="s">
        <v>17</v>
      </c>
      <c r="C12" s="401">
        <f ca="1">+'Central Assistance'!C12/'Aggregate As% of GSDP'!K11*100</f>
        <v>6.3032357473035443</v>
      </c>
      <c r="D12" s="401">
        <f ca="1">+'Central Assistance'!D12/'Aggregate As% of GSDP'!L11*100</f>
        <v>7.5886201256778865</v>
      </c>
      <c r="E12" s="401">
        <f ca="1">+'Central Assistance'!E12/'Aggregate As% of GSDP'!M11*100</f>
        <v>10.439688409788339</v>
      </c>
      <c r="F12" s="401">
        <f ca="1">+'Central Assistance'!F12/'Aggregate As% of GSDP'!N11*100</f>
        <v>7.3442364396900492</v>
      </c>
      <c r="G12" s="401">
        <f ca="1">+'Central Assistance'!G12/'Aggregate As% of GSDP'!O11*100</f>
        <v>10.374360224226177</v>
      </c>
      <c r="H12" s="401">
        <f ca="1">+'Central Assistance'!H12/'Aggregate As% of GSDP'!P11*100</f>
        <v>10.480286738351253</v>
      </c>
      <c r="I12" s="401">
        <f ca="1">+'Central Assistance'!I12/'Aggregate As% of GSDP'!Q11*100</f>
        <v>13.995818915801614</v>
      </c>
      <c r="J12" s="401">
        <f ca="1">+'Central Assistance'!C12/'Aggregate Resources'!C12*100</f>
        <v>71.287335757519429</v>
      </c>
      <c r="K12" s="401">
        <f ca="1">+'Central Assistance'!D12/'Aggregate Resources'!D12*100</f>
        <v>68.382227462417973</v>
      </c>
      <c r="L12" s="401">
        <f ca="1">+'Central Assistance'!E12/'Aggregate Resources'!E12*100</f>
        <v>118.8040616773223</v>
      </c>
      <c r="M12" s="401">
        <f ca="1">+'Central Assistance'!F12/'Aggregate Resources'!F12*100</f>
        <v>89.644522193298897</v>
      </c>
      <c r="N12" s="401">
        <f ca="1">+'Central Assistance'!G12/'Aggregate Resources'!G12*100</f>
        <v>55.003537381562332</v>
      </c>
      <c r="O12" s="401">
        <f ca="1">+'Central Assistance'!H12/'Aggregate Resources'!H12*100</f>
        <v>61.764944835318389</v>
      </c>
      <c r="P12" s="401">
        <f ca="1">+'Central Assistance'!I12/'Aggregate Resources'!I12*100</f>
        <v>70.15779330281859</v>
      </c>
    </row>
    <row r="13" spans="1:16">
      <c r="A13" s="424">
        <v>7</v>
      </c>
      <c r="B13" s="425" t="s">
        <v>18</v>
      </c>
      <c r="C13" s="401">
        <f ca="1">+'Central Assistance'!C13/'Aggregate As% of GSDP'!K12*100</f>
        <v>20.95754716981132</v>
      </c>
      <c r="D13" s="401">
        <f ca="1">+'Central Assistance'!D13/'Aggregate As% of GSDP'!L12*100</f>
        <v>16.818440026218049</v>
      </c>
      <c r="E13" s="401">
        <f ca="1">+'Central Assistance'!E13/'Aggregate As% of GSDP'!M12*100</f>
        <v>24.75532319391635</v>
      </c>
      <c r="F13" s="401">
        <f ca="1">+'Central Assistance'!F13/'Aggregate As% of GSDP'!N12*100</f>
        <v>18.210394489668129</v>
      </c>
      <c r="G13" s="401">
        <f ca="1">+'Central Assistance'!G13/'Aggregate As% of GSDP'!O12*100</f>
        <v>21.840928035565433</v>
      </c>
      <c r="H13" s="401">
        <f ca="1">+'Central Assistance'!H13/'Aggregate As% of GSDP'!P12*100</f>
        <v>27.898671302620137</v>
      </c>
      <c r="I13" s="401">
        <f ca="1">+'Central Assistance'!I13/'Aggregate As% of GSDP'!Q12*100</f>
        <v>26.83991455835945</v>
      </c>
      <c r="J13" s="401">
        <f ca="1">+'Central Assistance'!C13/'Aggregate Resources'!C13*100</f>
        <v>76.737960217622842</v>
      </c>
      <c r="K13" s="401">
        <f ca="1">+'Central Assistance'!D13/'Aggregate Resources'!D13*100</f>
        <v>90.600725012946683</v>
      </c>
      <c r="L13" s="401">
        <f ca="1">+'Central Assistance'!E13/'Aggregate Resources'!E13*100</f>
        <v>139.69553276402181</v>
      </c>
      <c r="M13" s="401">
        <f ca="1">+'Central Assistance'!F13/'Aggregate Resources'!F13*100</f>
        <v>92.012718902757342</v>
      </c>
      <c r="N13" s="401">
        <f ca="1">+'Central Assistance'!G13/'Aggregate Resources'!G13*100</f>
        <v>101.41925411744973</v>
      </c>
      <c r="O13" s="401">
        <f ca="1">+'Central Assistance'!H13/'Aggregate Resources'!H13*100</f>
        <v>96.934918799509859</v>
      </c>
      <c r="P13" s="401">
        <f ca="1">+'Central Assistance'!I13/'Aggregate Resources'!I13*100</f>
        <v>100.55399999999999</v>
      </c>
    </row>
    <row r="14" spans="1:16">
      <c r="A14" s="424">
        <v>8</v>
      </c>
      <c r="B14" s="425" t="s">
        <v>19</v>
      </c>
      <c r="C14" s="401">
        <f ca="1">+'Central Assistance'!C14/'Aggregate As% of GSDP'!K13*100</f>
        <v>9.1062538699690379</v>
      </c>
      <c r="D14" s="401">
        <f ca="1">+'Central Assistance'!D14/'Aggregate As% of GSDP'!L13*100</f>
        <v>9.2837007206443403</v>
      </c>
      <c r="E14" s="401">
        <f ca="1">+'Central Assistance'!E14/'Aggregate As% of GSDP'!M13*100</f>
        <v>11.279453785503943</v>
      </c>
      <c r="F14" s="401">
        <f ca="1">+'Central Assistance'!F14/'Aggregate As% of GSDP'!N13*100</f>
        <v>15.725401819882645</v>
      </c>
      <c r="G14" s="401">
        <f ca="1">+'Central Assistance'!G14/'Aggregate As% of GSDP'!O13*100</f>
        <v>15.785503294705746</v>
      </c>
      <c r="H14" s="401">
        <f ca="1">+'Central Assistance'!H14/'Aggregate As% of GSDP'!P13*100</f>
        <v>15.740291262135923</v>
      </c>
      <c r="I14" s="401">
        <f ca="1">+'Central Assistance'!I14/'Aggregate As% of GSDP'!Q13*100</f>
        <v>17.390072919454514</v>
      </c>
      <c r="J14" s="401">
        <f ca="1">+'Central Assistance'!C14/'Aggregate Resources'!C14*100</f>
        <v>87.151255125986665</v>
      </c>
      <c r="K14" s="401">
        <f ca="1">+'Central Assistance'!D14/'Aggregate Resources'!D14*100</f>
        <v>84.472151508138509</v>
      </c>
      <c r="L14" s="401">
        <f ca="1">+'Central Assistance'!E14/'Aggregate Resources'!E14*100</f>
        <v>115.3240644515885</v>
      </c>
      <c r="M14" s="401">
        <f ca="1">+'Central Assistance'!F14/'Aggregate Resources'!F14*100</f>
        <v>121.4038105492601</v>
      </c>
      <c r="N14" s="401">
        <f ca="1">+'Central Assistance'!G14/'Aggregate Resources'!G14*100</f>
        <v>162.08800609727646</v>
      </c>
      <c r="O14" s="401">
        <f ca="1">+'Central Assistance'!H14/'Aggregate Resources'!H14*100</f>
        <v>147.65109160363278</v>
      </c>
      <c r="P14" s="401">
        <f ca="1">+'Central Assistance'!I14/'Aggregate Resources'!I14*100</f>
        <v>145.23499999999999</v>
      </c>
    </row>
    <row r="15" spans="1:16">
      <c r="A15" s="424">
        <v>9</v>
      </c>
      <c r="B15" s="425" t="s">
        <v>20</v>
      </c>
      <c r="C15" s="401">
        <f ca="1">+'Central Assistance'!C15/'Aggregate As% of GSDP'!K14*100</f>
        <v>16.52833200319234</v>
      </c>
      <c r="D15" s="401">
        <f ca="1">+'Central Assistance'!D15/'Aggregate As% of GSDP'!L14*100</f>
        <v>16.388974914834314</v>
      </c>
      <c r="E15" s="401">
        <f ca="1">+'Central Assistance'!E15/'Aggregate As% of GSDP'!M14*100</f>
        <v>15.167128648296103</v>
      </c>
      <c r="F15" s="401">
        <f ca="1">+'Central Assistance'!F15/'Aggregate As% of GSDP'!N14*100</f>
        <v>9.4896114409066374</v>
      </c>
      <c r="G15" s="401">
        <f ca="1">+'Central Assistance'!G15/'Aggregate As% of GSDP'!O14*100</f>
        <v>13.28946146703807</v>
      </c>
      <c r="H15" s="401">
        <f ca="1">+'Central Assistance'!H15/'Aggregate As% of GSDP'!P14*100</f>
        <v>16.209802149241739</v>
      </c>
      <c r="I15" s="401">
        <f ca="1">+'Central Assistance'!I15/'Aggregate As% of GSDP'!Q14*100</f>
        <v>13.501149346621064</v>
      </c>
      <c r="J15" s="401">
        <f ca="1">+'Central Assistance'!C15/'Aggregate Resources'!C15*100</f>
        <v>53.761486942526339</v>
      </c>
      <c r="K15" s="401">
        <f ca="1">+'Central Assistance'!D15/'Aggregate Resources'!D15*100</f>
        <v>56.775633254299471</v>
      </c>
      <c r="L15" s="401">
        <f ca="1">+'Central Assistance'!E15/'Aggregate Resources'!E15*100</f>
        <v>79.883206664090338</v>
      </c>
      <c r="M15" s="401">
        <f ca="1">+'Central Assistance'!F15/'Aggregate Resources'!F15*100</f>
        <v>104.41178653603504</v>
      </c>
      <c r="N15" s="401">
        <f ca="1">+'Central Assistance'!G15/'Aggregate Resources'!G15*100</f>
        <v>76.436582109479303</v>
      </c>
      <c r="O15" s="401">
        <f ca="1">+'Central Assistance'!H15/'Aggregate Resources'!H15*100</f>
        <v>87.133571590528732</v>
      </c>
      <c r="P15" s="401">
        <f ca="1">+'Central Assistance'!I15/'Aggregate Resources'!I15*100</f>
        <v>86.917961165048538</v>
      </c>
    </row>
    <row r="16" spans="1:16">
      <c r="A16" s="424">
        <v>10</v>
      </c>
      <c r="B16" s="425" t="s">
        <v>21</v>
      </c>
      <c r="C16" s="401">
        <f ca="1">+'Central Assistance'!C16/'Aggregate As% of GSDP'!K15*100</f>
        <v>9.1591082478596242</v>
      </c>
      <c r="D16" s="401">
        <f ca="1">+'Central Assistance'!D16/'Aggregate As% of GSDP'!L15*100</f>
        <v>8.5778383555588302</v>
      </c>
      <c r="E16" s="401">
        <f ca="1">+'Central Assistance'!E16/'Aggregate As% of GSDP'!M15*100</f>
        <v>8.9439719535155486</v>
      </c>
      <c r="F16" s="401">
        <f ca="1">+'Central Assistance'!F16/'Aggregate As% of GSDP'!N15*100</f>
        <v>9.2084732482650544</v>
      </c>
      <c r="G16" s="401">
        <f ca="1">+'Central Assistance'!G16/'Aggregate As% of GSDP'!O15*100</f>
        <v>8.8887617958249923</v>
      </c>
      <c r="H16" s="401">
        <f ca="1">+'Central Assistance'!H16/'Aggregate As% of GSDP'!P15*100</f>
        <v>11.508069587088661</v>
      </c>
      <c r="I16" s="401">
        <f ca="1">+'Central Assistance'!I16/'Aggregate As% of GSDP'!Q15*100</f>
        <v>11.298108459611189</v>
      </c>
      <c r="J16" s="401">
        <f ca="1">+'Central Assistance'!C16/'Aggregate Resources'!C16*100</f>
        <v>90.265826803228023</v>
      </c>
      <c r="K16" s="401">
        <f ca="1">+'Central Assistance'!D16/'Aggregate Resources'!D16*100</f>
        <v>63.710436457558103</v>
      </c>
      <c r="L16" s="401">
        <f ca="1">+'Central Assistance'!E16/'Aggregate Resources'!E16*100</f>
        <v>83.278827263110173</v>
      </c>
      <c r="M16" s="401">
        <f ca="1">+'Central Assistance'!F16/'Aggregate Resources'!F16*100</f>
        <v>88.460752688172036</v>
      </c>
      <c r="N16" s="401">
        <f ca="1">+'Central Assistance'!G16/'Aggregate Resources'!G16*100</f>
        <v>94.61156823554478</v>
      </c>
      <c r="O16" s="401">
        <f ca="1">+'Central Assistance'!H16/'Aggregate Resources'!H16*100</f>
        <v>127.91093177773014</v>
      </c>
      <c r="P16" s="401">
        <f ca="1">+'Central Assistance'!I16/'Aggregate Resources'!I16*100</f>
        <v>124.2764</v>
      </c>
    </row>
    <row r="17" spans="1:16">
      <c r="A17" s="424">
        <v>11</v>
      </c>
      <c r="B17" s="425" t="s">
        <v>22</v>
      </c>
      <c r="C17" s="401">
        <f ca="1">+'Central Assistance'!C17/'Aggregate As% of GSDP'!K16*100</f>
        <v>4.4199668527564553</v>
      </c>
      <c r="D17" s="401">
        <f ca="1">+'Central Assistance'!D17/'Aggregate As% of GSDP'!L16*100</f>
        <v>3.386111557340473</v>
      </c>
      <c r="E17" s="401">
        <f ca="1">+'Central Assistance'!E17/'Aggregate As% of GSDP'!M16*100</f>
        <v>3.6649794995051601</v>
      </c>
      <c r="F17" s="401">
        <f ca="1">+'Central Assistance'!F17/'Aggregate As% of GSDP'!N16*100</f>
        <v>4.0351845323869524</v>
      </c>
      <c r="G17" s="401">
        <f ca="1">+'Central Assistance'!G17/'Aggregate As% of GSDP'!O16*100</f>
        <v>2.8991156239764169</v>
      </c>
      <c r="H17" s="401">
        <f ca="1">+'Central Assistance'!H17/'Aggregate As% of GSDP'!P16*100</f>
        <v>2.7179399427859385</v>
      </c>
      <c r="I17" s="401">
        <f ca="1">+'Central Assistance'!I17/'Aggregate As% of GSDP'!Q16*100</f>
        <v>4.0498161225548817</v>
      </c>
      <c r="J17" s="401">
        <f ca="1">+'Central Assistance'!C17/'Aggregate Resources'!C17*100</f>
        <v>42.061464663868243</v>
      </c>
      <c r="K17" s="401">
        <f ca="1">+'Central Assistance'!D17/'Aggregate Resources'!D17*100</f>
        <v>46.332231251785863</v>
      </c>
      <c r="L17" s="401">
        <f ca="1">+'Central Assistance'!E17/'Aggregate Resources'!E17*100</f>
        <v>54.639869753308631</v>
      </c>
      <c r="M17" s="401">
        <f ca="1">+'Central Assistance'!F17/'Aggregate Resources'!F17*100</f>
        <v>52.877422190475045</v>
      </c>
      <c r="N17" s="401">
        <f ca="1">+'Central Assistance'!G17/'Aggregate Resources'!G17*100</f>
        <v>50.983921718280854</v>
      </c>
      <c r="O17" s="401">
        <f ca="1">+'Central Assistance'!H17/'Aggregate Resources'!H17*100</f>
        <v>51.196391321452076</v>
      </c>
      <c r="P17" s="401">
        <f ca="1">+'Central Assistance'!I17/'Aggregate Resources'!I17*100</f>
        <v>63.352941176470587</v>
      </c>
    </row>
    <row r="18" spans="1:16" s="300" customFormat="1" ht="15">
      <c r="A18" s="421"/>
      <c r="B18" s="422" t="s">
        <v>229</v>
      </c>
      <c r="C18" s="403">
        <f ca="1">+'Central Assistance'!C18/'Aggregate As% of GSDP'!K17*100</f>
        <v>7.2528448173372535</v>
      </c>
      <c r="D18" s="403">
        <f ca="1">+'Central Assistance'!D18/'Aggregate As% of GSDP'!L17*100</f>
        <v>6.9406866486985157</v>
      </c>
      <c r="E18" s="403">
        <f ca="1">+'Central Assistance'!E18/'Aggregate As% of GSDP'!M17*100</f>
        <v>7.8110765289221034</v>
      </c>
      <c r="F18" s="403">
        <f ca="1">+'Central Assistance'!F18/'Aggregate As% of GSDP'!N17*100</f>
        <v>7.3574025214887904</v>
      </c>
      <c r="G18" s="403">
        <f ca="1">+'Central Assistance'!G18/'Aggregate As% of GSDP'!O17*100</f>
        <v>7.6847924014070799</v>
      </c>
      <c r="H18" s="403">
        <f ca="1">+'Central Assistance'!H18/'Aggregate As% of GSDP'!P17*100</f>
        <v>8.1720173333412713</v>
      </c>
      <c r="I18" s="403">
        <f ca="1">+'Central Assistance'!I18/'Aggregate As% of GSDP'!Q17*100</f>
        <v>8.3832197757781</v>
      </c>
      <c r="J18" s="403">
        <f ca="1">+'Central Assistance'!C18/'Aggregate Resources'!C18*100</f>
        <v>71.996414034280861</v>
      </c>
      <c r="K18" s="403">
        <f ca="1">+'Central Assistance'!D18/'Aggregate Resources'!D18*100</f>
        <v>69.059312834007116</v>
      </c>
      <c r="L18" s="403">
        <f ca="1">+'Central Assistance'!E18/'Aggregate Resources'!E18*100</f>
        <v>86.282020526009191</v>
      </c>
      <c r="M18" s="403">
        <f ca="1">+'Central Assistance'!F18/'Aggregate Resources'!F18*100</f>
        <v>83.436330448059536</v>
      </c>
      <c r="N18" s="403">
        <f ca="1">+'Central Assistance'!G18/'Aggregate Resources'!G18*100</f>
        <v>90.806742779405099</v>
      </c>
      <c r="O18" s="403">
        <f ca="1">+'Central Assistance'!H18/'Aggregate Resources'!H18*100</f>
        <v>94.173248844168171</v>
      </c>
      <c r="P18" s="403">
        <f ca="1">+'Central Assistance'!I18/'Aggregate Resources'!I18*100</f>
        <v>91.805082985593174</v>
      </c>
    </row>
    <row r="19" spans="1:16">
      <c r="A19" s="421" t="s">
        <v>230</v>
      </c>
      <c r="B19" s="422" t="s">
        <v>310</v>
      </c>
      <c r="C19" s="401"/>
      <c r="D19" s="401"/>
      <c r="E19" s="401"/>
      <c r="F19" s="401"/>
      <c r="G19" s="401"/>
      <c r="H19" s="401"/>
      <c r="I19" s="401"/>
      <c r="J19" s="401"/>
      <c r="K19" s="401"/>
      <c r="L19" s="401"/>
      <c r="M19" s="401"/>
      <c r="N19" s="401"/>
      <c r="O19" s="401"/>
      <c r="P19" s="401"/>
    </row>
    <row r="20" spans="1:16">
      <c r="A20" s="424">
        <v>1</v>
      </c>
      <c r="B20" s="425" t="s">
        <v>25</v>
      </c>
      <c r="C20" s="401">
        <f ca="1">+'Central Assistance'!C20/'Aggregate As% of GSDP'!K19*100</f>
        <v>1.0395517703590607</v>
      </c>
      <c r="D20" s="401">
        <f ca="1">+'Central Assistance'!D20/'Aggregate As% of GSDP'!L19*100</f>
        <v>0.94652560542687425</v>
      </c>
      <c r="E20" s="401">
        <f ca="1">+'Central Assistance'!E20/'Aggregate As% of GSDP'!M19*100</f>
        <v>0.89221219079975256</v>
      </c>
      <c r="F20" s="401">
        <f ca="1">+'Central Assistance'!F20/'Aggregate As% of GSDP'!N19*100</f>
        <v>0.56848338877830351</v>
      </c>
      <c r="G20" s="401">
        <f ca="1">+'Central Assistance'!G20/'Aggregate As% of GSDP'!O19*100</f>
        <v>0.87917300540906007</v>
      </c>
      <c r="H20" s="401">
        <f ca="1">+'Central Assistance'!H20/'Aggregate As% of GSDP'!P19*100</f>
        <v>0.78119163477636122</v>
      </c>
      <c r="I20" s="401">
        <f ca="1">+'Central Assistance'!I20/'Aggregate As% of GSDP'!Q19*100</f>
        <v>0.61468757727173051</v>
      </c>
      <c r="J20" s="401">
        <f ca="1">+'Central Assistance'!C20/'Aggregate Resources'!C20*100</f>
        <v>13.953935037497049</v>
      </c>
      <c r="K20" s="401">
        <f ca="1">+'Central Assistance'!D20/'Aggregate Resources'!D20*100</f>
        <v>13.187902405134333</v>
      </c>
      <c r="L20" s="401">
        <f ca="1">+'Central Assistance'!E20/'Aggregate Resources'!E20*100</f>
        <v>14.468096683415377</v>
      </c>
      <c r="M20" s="401">
        <f ca="1">+'Central Assistance'!F20/'Aggregate Resources'!F20*100</f>
        <v>10.504223890740043</v>
      </c>
      <c r="N20" s="401">
        <f ca="1">+'Central Assistance'!G20/'Aggregate Resources'!G20*100</f>
        <v>13.547279069767443</v>
      </c>
      <c r="O20" s="401">
        <f ca="1">+'Central Assistance'!H20/'Aggregate Resources'!H20*100</f>
        <v>13.359677683704124</v>
      </c>
      <c r="P20" s="401">
        <f ca="1">+'Central Assistance'!I20/'Aggregate Resources'!I20*100</f>
        <v>9.9436037735849059</v>
      </c>
    </row>
    <row r="21" spans="1:16">
      <c r="A21" s="424">
        <v>2</v>
      </c>
      <c r="B21" s="425" t="s">
        <v>26</v>
      </c>
      <c r="C21" s="401">
        <f ca="1">+'Central Assistance'!C21/'Aggregate As% of GSDP'!K20*100</f>
        <v>2.5155964109781843</v>
      </c>
      <c r="D21" s="401">
        <f ca="1">+'Central Assistance'!D21/'Aggregate As% of GSDP'!L20*100</f>
        <v>2.5303031367946081</v>
      </c>
      <c r="E21" s="401">
        <f ca="1">+'Central Assistance'!E21/'Aggregate As% of GSDP'!M20*100</f>
        <v>2.2838685522083915</v>
      </c>
      <c r="F21" s="401">
        <f ca="1">+'Central Assistance'!F21/'Aggregate As% of GSDP'!N20*100</f>
        <v>2.5931303202815621</v>
      </c>
      <c r="G21" s="401">
        <f ca="1">+'Central Assistance'!G21/'Aggregate As% of GSDP'!O20*100</f>
        <v>2.87861376850856</v>
      </c>
      <c r="H21" s="401">
        <f ca="1">+'Central Assistance'!H21/'Aggregate As% of GSDP'!P20*100</f>
        <v>2.1917036895491968</v>
      </c>
      <c r="I21" s="401">
        <f ca="1">+'Central Assistance'!I21/'Aggregate As% of GSDP'!Q20*100</f>
        <v>2.3397866627572035</v>
      </c>
      <c r="J21" s="401">
        <f ca="1">+'Central Assistance'!C21/'Aggregate Resources'!C21*100</f>
        <v>27.402076238623714</v>
      </c>
      <c r="K21" s="401">
        <f ca="1">+'Central Assistance'!D21/'Aggregate Resources'!D21*100</f>
        <v>26.291750804251855</v>
      </c>
      <c r="L21" s="401">
        <f ca="1">+'Central Assistance'!E21/'Aggregate Resources'!E21*100</f>
        <v>22.707519783041054</v>
      </c>
      <c r="M21" s="401">
        <f ca="1">+'Central Assistance'!F21/'Aggregate Resources'!F21*100</f>
        <v>27.430927911922453</v>
      </c>
      <c r="N21" s="401">
        <f ca="1">+'Central Assistance'!G21/'Aggregate Resources'!G21*100</f>
        <v>29.663875000000001</v>
      </c>
      <c r="O21" s="401">
        <f ca="1">+'Central Assistance'!H21/'Aggregate Resources'!H21*100</f>
        <v>27.305053179037554</v>
      </c>
      <c r="P21" s="401">
        <f ca="1">+'Central Assistance'!I21/'Aggregate Resources'!I21*100</f>
        <v>25.347941176470592</v>
      </c>
    </row>
    <row r="22" spans="1:16">
      <c r="A22" s="424">
        <v>3</v>
      </c>
      <c r="B22" s="425" t="s">
        <v>27</v>
      </c>
      <c r="C22" s="401">
        <f ca="1">+'Central Assistance'!C22/'Aggregate As% of GSDP'!K21*100</f>
        <v>0.78112267148464265</v>
      </c>
      <c r="D22" s="401">
        <f ca="1">+'Central Assistance'!D22/'Aggregate As% of GSDP'!L21*100</f>
        <v>0.7977354287835664</v>
      </c>
      <c r="E22" s="401">
        <f ca="1">+'Central Assistance'!E22/'Aggregate As% of GSDP'!M21*100</f>
        <v>1.4048750050320036</v>
      </c>
      <c r="F22" s="401">
        <f ca="1">+'Central Assistance'!F22/'Aggregate As% of GSDP'!N21*100</f>
        <v>1.7651649639926312</v>
      </c>
      <c r="G22" s="401">
        <f ca="1">+'Central Assistance'!G22/'Aggregate As% of GSDP'!O21*100</f>
        <v>1.4201336624721537</v>
      </c>
      <c r="H22" s="401">
        <f ca="1">+'Central Assistance'!H22/'Aggregate As% of GSDP'!P21*100</f>
        <v>1.7539008338703694</v>
      </c>
      <c r="I22" s="401">
        <f ca="1">+'Central Assistance'!I22/'Aggregate As% of GSDP'!Q21*100</f>
        <v>1.496303158086167</v>
      </c>
      <c r="J22" s="401">
        <f ca="1">+'Central Assistance'!C22/'Aggregate Resources'!C22*100</f>
        <v>10.364901954300446</v>
      </c>
      <c r="K22" s="401">
        <f ca="1">+'Central Assistance'!D22/'Aggregate Resources'!D22*100</f>
        <v>11.803767965124885</v>
      </c>
      <c r="L22" s="401">
        <f ca="1">+'Central Assistance'!E22/'Aggregate Resources'!E22*100</f>
        <v>14.702199210723377</v>
      </c>
      <c r="M22" s="401">
        <f ca="1">+'Central Assistance'!F22/'Aggregate Resources'!F22*100</f>
        <v>18.598274068590818</v>
      </c>
      <c r="N22" s="401">
        <f ca="1">+'Central Assistance'!G22/'Aggregate Resources'!G22*100</f>
        <v>11.101292766180757</v>
      </c>
      <c r="O22" s="401">
        <f ca="1">+'Central Assistance'!H22/'Aggregate Resources'!H22*100</f>
        <v>13.547142432639122</v>
      </c>
      <c r="P22" s="401">
        <f ca="1">+'Central Assistance'!I22/'Aggregate Resources'!I22*100</f>
        <v>10.427366336633664</v>
      </c>
    </row>
    <row r="23" spans="1:16">
      <c r="A23" s="424">
        <v>4</v>
      </c>
      <c r="B23" s="425" t="s">
        <v>28</v>
      </c>
      <c r="C23" s="401">
        <f ca="1">+'Central Assistance'!C23/'Aggregate As% of GSDP'!K22*100</f>
        <v>0.42269358548428315</v>
      </c>
      <c r="D23" s="401">
        <f ca="1">+'Central Assistance'!D23/'Aggregate As% of GSDP'!L22*100</f>
        <v>0.79790666561737633</v>
      </c>
      <c r="E23" s="401">
        <f ca="1">+'Central Assistance'!E23/'Aggregate As% of GSDP'!M22*100</f>
        <v>0.3027535535260592</v>
      </c>
      <c r="F23" s="401">
        <f ca="1">+'Central Assistance'!F23/'Aggregate As% of GSDP'!N22*100</f>
        <v>1.3124832614194317</v>
      </c>
      <c r="G23" s="401">
        <f ca="1">+'Central Assistance'!G23/'Aggregate As% of GSDP'!O22*100</f>
        <v>0.66326162387231091</v>
      </c>
      <c r="H23" s="401">
        <f ca="1">+'Central Assistance'!H23/'Aggregate As% of GSDP'!P22*100</f>
        <v>0.43795223795223792</v>
      </c>
      <c r="I23" s="401">
        <f ca="1">+'Central Assistance'!I23/'Aggregate As% of GSDP'!Q22*100</f>
        <v>0.76445761065214435</v>
      </c>
      <c r="J23" s="401">
        <f ca="1">+'Central Assistance'!C23/'Aggregate Resources'!C23*100</f>
        <v>6.5371359913997686</v>
      </c>
      <c r="K23" s="401">
        <f ca="1">+'Central Assistance'!D23/'Aggregate Resources'!D23*100</f>
        <v>12.487685284367684</v>
      </c>
      <c r="L23" s="401">
        <f ca="1">+'Central Assistance'!E23/'Aggregate Resources'!E23*100</f>
        <v>3.955483983833564</v>
      </c>
      <c r="M23" s="401">
        <f ca="1">+'Central Assistance'!F23/'Aggregate Resources'!F23*100</f>
        <v>18.054770968930374</v>
      </c>
      <c r="N23" s="401">
        <f ca="1">+'Central Assistance'!G23/'Aggregate Resources'!G23*100</f>
        <v>10.021684149599661</v>
      </c>
      <c r="O23" s="401">
        <f ca="1">+'Central Assistance'!H23/'Aggregate Resources'!H23*100</f>
        <v>4.8497075226998492</v>
      </c>
      <c r="P23" s="401">
        <f ca="1">+'Central Assistance'!I23/'Aggregate Resources'!I23*100</f>
        <v>6.3722163308589623</v>
      </c>
    </row>
    <row r="24" spans="1:16">
      <c r="A24" s="424">
        <v>5</v>
      </c>
      <c r="B24" s="425" t="s">
        <v>29</v>
      </c>
      <c r="C24" s="401">
        <f ca="1">+'Central Assistance'!C24/'Aggregate As% of GSDP'!K23*100</f>
        <v>0.67908650561064132</v>
      </c>
      <c r="D24" s="401">
        <f ca="1">+'Central Assistance'!D24/'Aggregate As% of GSDP'!L23*100</f>
        <v>0.5361118963230338</v>
      </c>
      <c r="E24" s="401">
        <f ca="1">+'Central Assistance'!E24/'Aggregate As% of GSDP'!M23*100</f>
        <v>0.39976858614948696</v>
      </c>
      <c r="F24" s="401">
        <f ca="1">+'Central Assistance'!F24/'Aggregate As% of GSDP'!N23*100</f>
        <v>0.38931467501663414</v>
      </c>
      <c r="G24" s="401">
        <f ca="1">+'Central Assistance'!G24/'Aggregate As% of GSDP'!O23*100</f>
        <v>0.67641948792642659</v>
      </c>
      <c r="H24" s="401">
        <f ca="1">+'Central Assistance'!H24/'Aggregate As% of GSDP'!P23*100</f>
        <v>0.65664999044798933</v>
      </c>
      <c r="I24" s="401">
        <f ca="1">+'Central Assistance'!I24/'Aggregate As% of GSDP'!Q23*100</f>
        <v>0.51211450489875132</v>
      </c>
      <c r="J24" s="401">
        <f ca="1">+'Central Assistance'!C24/'Aggregate Resources'!C24*100</f>
        <v>14.184034120894729</v>
      </c>
      <c r="K24" s="401">
        <f ca="1">+'Central Assistance'!D24/'Aggregate Resources'!D24*100</f>
        <v>8.9897278223876782</v>
      </c>
      <c r="L24" s="401">
        <f ca="1">+'Central Assistance'!E24/'Aggregate Resources'!E24*100</f>
        <v>7.6345630202943315</v>
      </c>
      <c r="M24" s="401">
        <f ca="1">+'Central Assistance'!F24/'Aggregate Resources'!F24*100</f>
        <v>7.3687954459258149</v>
      </c>
      <c r="N24" s="401">
        <f ca="1">+'Central Assistance'!G24/'Aggregate Resources'!G24*100</f>
        <v>12.94381788138937</v>
      </c>
      <c r="O24" s="401">
        <f ca="1">+'Central Assistance'!H24/'Aggregate Resources'!H24*100</f>
        <v>8.5699120250027025</v>
      </c>
      <c r="P24" s="401">
        <f ca="1">+'Central Assistance'!I24/'Aggregate Resources'!I24*100</f>
        <v>6.7437118644067802</v>
      </c>
    </row>
    <row r="25" spans="1:16">
      <c r="A25" s="424">
        <v>6</v>
      </c>
      <c r="B25" s="425" t="s">
        <v>30</v>
      </c>
      <c r="C25" s="401">
        <f ca="1">+'Central Assistance'!C25/'Aggregate As% of GSDP'!K24*100</f>
        <v>0.25806749518456956</v>
      </c>
      <c r="D25" s="401">
        <f ca="1">+'Central Assistance'!D25/'Aggregate As% of GSDP'!L24*100</f>
        <v>0.29602458881669064</v>
      </c>
      <c r="E25" s="401">
        <f ca="1">+'Central Assistance'!E25/'Aggregate As% of GSDP'!M24*100</f>
        <v>0.38572450805008945</v>
      </c>
      <c r="F25" s="401">
        <f ca="1">+'Central Assistance'!F25/'Aggregate As% of GSDP'!N24*100</f>
        <v>0.26025915026033974</v>
      </c>
      <c r="G25" s="401">
        <f ca="1">+'Central Assistance'!G25/'Aggregate As% of GSDP'!O24*100</f>
        <v>0.34516275388380541</v>
      </c>
      <c r="H25" s="401">
        <f ca="1">+'Central Assistance'!H25/'Aggregate As% of GSDP'!P24*100</f>
        <v>0.25752669173150117</v>
      </c>
      <c r="I25" s="401">
        <f ca="1">+'Central Assistance'!I25/'Aggregate As% of GSDP'!Q24*100</f>
        <v>0.28908815100256047</v>
      </c>
      <c r="J25" s="401">
        <f ca="1">+'Central Assistance'!C25/'Aggregate Resources'!C25*100</f>
        <v>3.6529842384402782</v>
      </c>
      <c r="K25" s="401">
        <f ca="1">+'Central Assistance'!D25/'Aggregate Resources'!D25*100</f>
        <v>3.9014341097305874</v>
      </c>
      <c r="L25" s="401">
        <f ca="1">+'Central Assistance'!E25/'Aggregate Resources'!E25*100</f>
        <v>4.5580010495536234</v>
      </c>
      <c r="M25" s="401">
        <f ca="1">+'Central Assistance'!F25/'Aggregate Resources'!F25*100</f>
        <v>4.3142976902933547</v>
      </c>
      <c r="N25" s="401">
        <f ca="1">+'Central Assistance'!G25/'Aggregate Resources'!G25*100</f>
        <v>5.1195737921047799</v>
      </c>
      <c r="O25" s="401">
        <f ca="1">+'Central Assistance'!H25/'Aggregate Resources'!H25*100</f>
        <v>3.7815924898971653</v>
      </c>
      <c r="P25" s="401">
        <f ca="1">+'Central Assistance'!I25/'Aggregate Resources'!I25*100</f>
        <v>4.1955156619385345</v>
      </c>
    </row>
    <row r="26" spans="1:16">
      <c r="A26" s="424">
        <v>7</v>
      </c>
      <c r="B26" s="425" t="s">
        <v>31</v>
      </c>
      <c r="C26" s="401">
        <f ca="1">+'Central Assistance'!C26/'Aggregate As% of GSDP'!K25*100</f>
        <v>1.4641572364502682</v>
      </c>
      <c r="D26" s="401">
        <f ca="1">+'Central Assistance'!D26/'Aggregate As% of GSDP'!L25*100</f>
        <v>1.7357222589243004</v>
      </c>
      <c r="E26" s="401">
        <f ca="1">+'Central Assistance'!E26/'Aggregate As% of GSDP'!M25*100</f>
        <v>1.6609852814024904</v>
      </c>
      <c r="F26" s="401">
        <f ca="1">+'Central Assistance'!F26/'Aggregate As% of GSDP'!N25*100</f>
        <v>2.2201664034694883</v>
      </c>
      <c r="G26" s="401">
        <f ca="1">+'Central Assistance'!G26/'Aggregate As% of GSDP'!O25*100</f>
        <v>2.4378105649415183</v>
      </c>
      <c r="H26" s="401">
        <f ca="1">+'Central Assistance'!H26/'Aggregate As% of GSDP'!P25*100</f>
        <v>2.4101324631844538</v>
      </c>
      <c r="I26" s="401">
        <f ca="1">+'Central Assistance'!I26/'Aggregate As% of GSDP'!Q25*100</f>
        <v>1.6921430383493301</v>
      </c>
      <c r="J26" s="401">
        <f ca="1">+'Central Assistance'!C26/'Aggregate Resources'!C26*100</f>
        <v>22.250099107758643</v>
      </c>
      <c r="K26" s="401">
        <f ca="1">+'Central Assistance'!D26/'Aggregate Resources'!D26*100</f>
        <v>22.85494028523307</v>
      </c>
      <c r="L26" s="401">
        <f ca="1">+'Central Assistance'!E26/'Aggregate Resources'!E26*100</f>
        <v>24.772514707429984</v>
      </c>
      <c r="M26" s="401">
        <f ca="1">+'Central Assistance'!F26/'Aggregate Resources'!F26*100</f>
        <v>33.146143862533741</v>
      </c>
      <c r="N26" s="401">
        <f ca="1">+'Central Assistance'!G26/'Aggregate Resources'!G26*100</f>
        <v>34.392053665796688</v>
      </c>
      <c r="O26" s="401">
        <f ca="1">+'Central Assistance'!H26/'Aggregate Resources'!H26*100</f>
        <v>24.378711656441716</v>
      </c>
      <c r="P26" s="401">
        <f ca="1">+'Central Assistance'!I26/'Aggregate Resources'!I26*100</f>
        <v>19.057559523809527</v>
      </c>
    </row>
    <row r="27" spans="1:16">
      <c r="A27" s="424">
        <v>8</v>
      </c>
      <c r="B27" s="425" t="s">
        <v>32</v>
      </c>
      <c r="C27" s="401">
        <f ca="1">+'Central Assistance'!C27/'Aggregate As% of GSDP'!K26*100</f>
        <v>0.70807302986745702</v>
      </c>
      <c r="D27" s="401">
        <f ca="1">+'Central Assistance'!D27/'Aggregate As% of GSDP'!L26*100</f>
        <v>0.65107778622805434</v>
      </c>
      <c r="E27" s="401">
        <f ca="1">+'Central Assistance'!E27/'Aggregate As% of GSDP'!M26*100</f>
        <v>0.88067022357573055</v>
      </c>
      <c r="F27" s="401">
        <f ca="1">+'Central Assistance'!F27/'Aggregate As% of GSDP'!N26*100</f>
        <v>1.0572902316272343</v>
      </c>
      <c r="G27" s="401">
        <f ca="1">+'Central Assistance'!G27/'Aggregate As% of GSDP'!O26*100</f>
        <v>0.75504800672922279</v>
      </c>
      <c r="H27" s="401">
        <f ca="1">+'Central Assistance'!H27/'Aggregate As% of GSDP'!P26*100</f>
        <v>0.48843474381413232</v>
      </c>
      <c r="I27" s="401">
        <f ca="1">+'Central Assistance'!I27/'Aggregate As% of GSDP'!Q26*100</f>
        <v>0.60631413025356551</v>
      </c>
      <c r="J27" s="401">
        <f ca="1">+'Central Assistance'!C27/'Aggregate Resources'!C27*100</f>
        <v>11.219865695420541</v>
      </c>
      <c r="K27" s="401">
        <f ca="1">+'Central Assistance'!D27/'Aggregate Resources'!D27*100</f>
        <v>8.7745457403960323</v>
      </c>
      <c r="L27" s="401">
        <f ca="1">+'Central Assistance'!E27/'Aggregate Resources'!E27*100</f>
        <v>11.028181747822705</v>
      </c>
      <c r="M27" s="401">
        <f ca="1">+'Central Assistance'!F27/'Aggregate Resources'!F27*100</f>
        <v>13.938058326485278</v>
      </c>
      <c r="N27" s="401">
        <f ca="1">+'Central Assistance'!G27/'Aggregate Resources'!G27*100</f>
        <v>9.0113654096228863</v>
      </c>
      <c r="O27" s="401">
        <f ca="1">+'Central Assistance'!H27/'Aggregate Resources'!H27*100</f>
        <v>6.085155839704476</v>
      </c>
      <c r="P27" s="401">
        <f ca="1">+'Central Assistance'!I27/'Aggregate Resources'!I27*100</f>
        <v>7.6603404255319125</v>
      </c>
    </row>
    <row r="28" spans="1:16">
      <c r="A28" s="424">
        <v>9</v>
      </c>
      <c r="B28" s="425" t="s">
        <v>33</v>
      </c>
      <c r="C28" s="401">
        <f ca="1">+'Central Assistance'!C28/'Aggregate As% of GSDP'!K27*100</f>
        <v>0.48954842098651952</v>
      </c>
      <c r="D28" s="401">
        <f ca="1">+'Central Assistance'!D28/'Aggregate As% of GSDP'!L27*100</f>
        <v>0.63519624426110666</v>
      </c>
      <c r="E28" s="401">
        <f ca="1">+'Central Assistance'!E28/'Aggregate As% of GSDP'!M27*100</f>
        <v>0.32976004206914683</v>
      </c>
      <c r="F28" s="401">
        <f ca="1">+'Central Assistance'!F28/'Aggregate As% of GSDP'!N27*100</f>
        <v>0.28436951469634875</v>
      </c>
      <c r="G28" s="401">
        <f ca="1">+'Central Assistance'!G28/'Aggregate As% of GSDP'!O27*100</f>
        <v>0.40323345436594282</v>
      </c>
      <c r="H28" s="401">
        <f ca="1">+'Central Assistance'!H28/'Aggregate As% of GSDP'!P27*100</f>
        <v>0.47683046218848224</v>
      </c>
      <c r="I28" s="401">
        <f ca="1">+'Central Assistance'!I28/'Aggregate As% of GSDP'!Q27*100</f>
        <v>0.43442777284752981</v>
      </c>
      <c r="J28" s="401">
        <f ca="1">+'Central Assistance'!C28/'Aggregate Resources'!C28*100</f>
        <v>14.743586436725858</v>
      </c>
      <c r="K28" s="401">
        <f ca="1">+'Central Assistance'!D28/'Aggregate Resources'!D28*100</f>
        <v>19.25515115729694</v>
      </c>
      <c r="L28" s="401">
        <f ca="1">+'Central Assistance'!E28/'Aggregate Resources'!E28*100</f>
        <v>8.9574327583703663</v>
      </c>
      <c r="M28" s="401">
        <f ca="1">+'Central Assistance'!F28/'Aggregate Resources'!F28*100</f>
        <v>8.1158808731640022</v>
      </c>
      <c r="N28" s="401">
        <f ca="1">+'Central Assistance'!G28/'Aggregate Resources'!G28*100</f>
        <v>10.337876488029568</v>
      </c>
      <c r="O28" s="401">
        <f ca="1">+'Central Assistance'!H28/'Aggregate Resources'!H28*100</f>
        <v>11.885437440465786</v>
      </c>
      <c r="P28" s="401">
        <f ca="1">+'Central Assistance'!I28/'Aggregate Resources'!I28*100</f>
        <v>10.249235294117645</v>
      </c>
    </row>
    <row r="29" spans="1:16">
      <c r="A29" s="424">
        <v>10</v>
      </c>
      <c r="B29" s="425" t="s">
        <v>34</v>
      </c>
      <c r="C29" s="401">
        <f ca="1">+'Central Assistance'!C29/'Aggregate As% of GSDP'!K28*100</f>
        <v>1.617535407080797</v>
      </c>
      <c r="D29" s="401">
        <f ca="1">+'Central Assistance'!D29/'Aggregate As% of GSDP'!L28*100</f>
        <v>1.4313854701028002</v>
      </c>
      <c r="E29" s="401">
        <f ca="1">+'Central Assistance'!E29/'Aggregate As% of GSDP'!M28*100</f>
        <v>1.3633682989316962</v>
      </c>
      <c r="F29" s="401">
        <f ca="1">+'Central Assistance'!F29/'Aggregate As% of GSDP'!N28*100</f>
        <v>1.7163928077875139</v>
      </c>
      <c r="G29" s="401">
        <f ca="1">+'Central Assistance'!G29/'Aggregate As% of GSDP'!O28*100</f>
        <v>1.6872076234478777</v>
      </c>
      <c r="H29" s="401">
        <f ca="1">+'Central Assistance'!H29/'Aggregate As% of GSDP'!P28*100</f>
        <v>1.6684722882760878</v>
      </c>
      <c r="I29" s="401">
        <f ca="1">+'Central Assistance'!I29/'Aggregate As% of GSDP'!Q28*100</f>
        <v>1.4029208250166336</v>
      </c>
      <c r="J29" s="401">
        <f ca="1">+'Central Assistance'!C29/'Aggregate Resources'!C29*100</f>
        <v>24.216997829539586</v>
      </c>
      <c r="K29" s="401">
        <f ca="1">+'Central Assistance'!D29/'Aggregate Resources'!D29*100</f>
        <v>23.632291724203728</v>
      </c>
      <c r="L29" s="401">
        <f ca="1">+'Central Assistance'!E29/'Aggregate Resources'!E29*100</f>
        <v>21.306737798094066</v>
      </c>
      <c r="M29" s="401">
        <f ca="1">+'Central Assistance'!F29/'Aggregate Resources'!F29*100</f>
        <v>23.804010273680483</v>
      </c>
      <c r="N29" s="401">
        <f ca="1">+'Central Assistance'!G29/'Aggregate Resources'!G29*100</f>
        <v>18.915083701220155</v>
      </c>
      <c r="O29" s="401">
        <f ca="1">+'Central Assistance'!H29/'Aggregate Resources'!H29*100</f>
        <v>21.75992896170267</v>
      </c>
      <c r="P29" s="401">
        <f ca="1">+'Central Assistance'!I29/'Aggregate Resources'!I29*100</f>
        <v>17.819070422535212</v>
      </c>
    </row>
    <row r="30" spans="1:16">
      <c r="A30" s="424">
        <v>11</v>
      </c>
      <c r="B30" s="425" t="s">
        <v>35</v>
      </c>
      <c r="C30" s="401">
        <f ca="1">+'Central Assistance'!C30/'Aggregate As% of GSDP'!K29*100</f>
        <v>0.5519226304253545</v>
      </c>
      <c r="D30" s="401">
        <f ca="1">+'Central Assistance'!D30/'Aggregate As% of GSDP'!L29*100</f>
        <v>0.88637065980166296</v>
      </c>
      <c r="E30" s="401">
        <f ca="1">+'Central Assistance'!E30/'Aggregate As% of GSDP'!M29*100</f>
        <v>0.63056777029766842</v>
      </c>
      <c r="F30" s="401">
        <f ca="1">+'Central Assistance'!F30/'Aggregate As% of GSDP'!N29*100</f>
        <v>0.71418799983769454</v>
      </c>
      <c r="G30" s="401">
        <f ca="1">+'Central Assistance'!G30/'Aggregate As% of GSDP'!O29*100</f>
        <v>0.62502042435984229</v>
      </c>
      <c r="H30" s="401">
        <f ca="1">+'Central Assistance'!H30/'Aggregate As% of GSDP'!P29*100</f>
        <v>0.35185889422166278</v>
      </c>
      <c r="I30" s="401">
        <f ca="1">+'Central Assistance'!I30/'Aggregate As% of GSDP'!Q29*100</f>
        <v>0.44220170835760292</v>
      </c>
      <c r="J30" s="401">
        <f ca="1">+'Central Assistance'!C30/'Aggregate Resources'!C30*100</f>
        <v>20.254565993490107</v>
      </c>
      <c r="K30" s="401">
        <f ca="1">+'Central Assistance'!D30/'Aggregate Resources'!D30*100</f>
        <v>28.691627344061608</v>
      </c>
      <c r="L30" s="401">
        <f ca="1">+'Central Assistance'!E30/'Aggregate Resources'!E30*100</f>
        <v>18.03032960937723</v>
      </c>
      <c r="M30" s="401">
        <f ca="1">+'Central Assistance'!F30/'Aggregate Resources'!F30*100</f>
        <v>22.362719986980089</v>
      </c>
      <c r="N30" s="401">
        <f ca="1">+'Central Assistance'!G30/'Aggregate Resources'!G30*100</f>
        <v>20.233668644131377</v>
      </c>
      <c r="O30" s="401">
        <f ca="1">+'Central Assistance'!H30/'Aggregate Resources'!H30*100</f>
        <v>11.967213724049671</v>
      </c>
      <c r="P30" s="401">
        <f ca="1">+'Central Assistance'!I30/'Aggregate Resources'!I30*100</f>
        <v>8.7130310559006201</v>
      </c>
    </row>
    <row r="31" spans="1:16">
      <c r="A31" s="424">
        <v>12</v>
      </c>
      <c r="B31" s="425" t="s">
        <v>274</v>
      </c>
      <c r="C31" s="401">
        <f ca="1">+'Central Assistance'!C31/'Aggregate As% of GSDP'!K30*100</f>
        <v>1.6729891548184475</v>
      </c>
      <c r="D31" s="401">
        <f ca="1">+'Central Assistance'!D31/'Aggregate As% of GSDP'!L30*100</f>
        <v>1.8524759076307658</v>
      </c>
      <c r="E31" s="401">
        <f ca="1">+'Central Assistance'!E31/'Aggregate As% of GSDP'!M30*100</f>
        <v>1.7040882255471141</v>
      </c>
      <c r="F31" s="401">
        <f ca="1">+'Central Assistance'!F31/'Aggregate As% of GSDP'!N30*100</f>
        <v>1.6586999443122565</v>
      </c>
      <c r="G31" s="401">
        <f ca="1">+'Central Assistance'!G31/'Aggregate As% of GSDP'!O30*100</f>
        <v>1.7956781292087443</v>
      </c>
      <c r="H31" s="401">
        <f ca="1">+'Central Assistance'!H31/'Aggregate As% of GSDP'!P30*100</f>
        <v>1.3563194093768474</v>
      </c>
      <c r="I31" s="401">
        <f ca="1">+'Central Assistance'!I31/'Aggregate As% of GSDP'!Q30*100</f>
        <v>1.5490163445602503</v>
      </c>
      <c r="J31" s="401">
        <f ca="1">+'Central Assistance'!C31/'Aggregate Resources'!C31*100</f>
        <v>36.344967473813519</v>
      </c>
      <c r="K31" s="401">
        <f ca="1">+'Central Assistance'!D31/'Aggregate Resources'!D31*100</f>
        <v>35.268233767632452</v>
      </c>
      <c r="L31" s="401">
        <f ca="1">+'Central Assistance'!E31/'Aggregate Resources'!E31*100</f>
        <v>29.526161829366202</v>
      </c>
      <c r="M31" s="401">
        <f ca="1">+'Central Assistance'!F31/'Aggregate Resources'!F31*100</f>
        <v>29.155180238300755</v>
      </c>
      <c r="N31" s="401">
        <f ca="1">+'Central Assistance'!G31/'Aggregate Resources'!G31*100</f>
        <v>33.448090277777773</v>
      </c>
      <c r="O31" s="401">
        <f ca="1">+'Central Assistance'!H31/'Aggregate Resources'!H31*100</f>
        <v>19.537903026625784</v>
      </c>
      <c r="P31" s="401">
        <f ca="1">+'Central Assistance'!I31/'Aggregate Resources'!I31*100</f>
        <v>20.779441860465116</v>
      </c>
    </row>
    <row r="32" spans="1:16">
      <c r="A32" s="424">
        <v>13</v>
      </c>
      <c r="B32" s="425" t="s">
        <v>36</v>
      </c>
      <c r="C32" s="401">
        <f ca="1">+'Central Assistance'!C32/'Aggregate As% of GSDP'!K31*100</f>
        <v>0.40570790502151133</v>
      </c>
      <c r="D32" s="401">
        <f ca="1">+'Central Assistance'!D32/'Aggregate As% of GSDP'!L31*100</f>
        <v>0.36167180919219261</v>
      </c>
      <c r="E32" s="401">
        <f ca="1">+'Central Assistance'!E32/'Aggregate As% of GSDP'!M31*100</f>
        <v>0.64772151898734176</v>
      </c>
      <c r="F32" s="401">
        <f ca="1">+'Central Assistance'!F32/'Aggregate As% of GSDP'!N31*100</f>
        <v>0.42203055648883314</v>
      </c>
      <c r="G32" s="401">
        <f ca="1">+'Central Assistance'!G32/'Aggregate As% of GSDP'!O31*100</f>
        <v>0.58482626837733498</v>
      </c>
      <c r="H32" s="401">
        <f ca="1">+'Central Assistance'!H32/'Aggregate As% of GSDP'!P31*100</f>
        <v>0.75941131554449126</v>
      </c>
      <c r="I32" s="401">
        <f ca="1">+'Central Assistance'!I32/'Aggregate As% of GSDP'!Q31*100</f>
        <v>0.59033520620963476</v>
      </c>
      <c r="J32" s="401">
        <f ca="1">+'Central Assistance'!C32/'Aggregate Resources'!C32*100</f>
        <v>12.112102690205726</v>
      </c>
      <c r="K32" s="401">
        <f ca="1">+'Central Assistance'!D32/'Aggregate Resources'!D32*100</f>
        <v>9.5026955378318831</v>
      </c>
      <c r="L32" s="401">
        <f ca="1">+'Central Assistance'!E32/'Aggregate Resources'!E32*100</f>
        <v>27.226137091607928</v>
      </c>
      <c r="M32" s="401">
        <f ca="1">+'Central Assistance'!F32/'Aggregate Resources'!F32*100</f>
        <v>12.510139549024316</v>
      </c>
      <c r="N32" s="401">
        <f ca="1">+'Central Assistance'!G32/'Aggregate Resources'!G32*100</f>
        <v>13.01796875</v>
      </c>
      <c r="O32" s="401">
        <f ca="1">+'Central Assistance'!H32/'Aggregate Resources'!H32*100</f>
        <v>16.922543812486598</v>
      </c>
      <c r="P32" s="401">
        <f ca="1">+'Central Assistance'!I32/'Aggregate Resources'!I32*100</f>
        <v>11.682852713178296</v>
      </c>
    </row>
    <row r="33" spans="1:16">
      <c r="A33" s="424">
        <v>14</v>
      </c>
      <c r="B33" s="425" t="s">
        <v>37</v>
      </c>
      <c r="C33" s="401">
        <f ca="1">+'Central Assistance'!C33/'Aggregate As% of GSDP'!K32*100</f>
        <v>0.90780815308332752</v>
      </c>
      <c r="D33" s="401">
        <f ca="1">+'Central Assistance'!D33/'Aggregate As% of GSDP'!L32*100</f>
        <v>0.89960554061719256</v>
      </c>
      <c r="E33" s="401">
        <f ca="1">+'Central Assistance'!E33/'Aggregate As% of GSDP'!M32*100</f>
        <v>0.6041154895137778</v>
      </c>
      <c r="F33" s="401">
        <f ca="1">+'Central Assistance'!F33/'Aggregate As% of GSDP'!N32*100</f>
        <v>0.73534349249884734</v>
      </c>
      <c r="G33" s="401">
        <f ca="1">+'Central Assistance'!G33/'Aggregate As% of GSDP'!O32*100</f>
        <v>0.72024331841099398</v>
      </c>
      <c r="H33" s="401">
        <f ca="1">+'Central Assistance'!H33/'Aggregate As% of GSDP'!P32*100</f>
        <v>0.73578389207669592</v>
      </c>
      <c r="I33" s="401">
        <f ca="1">+'Central Assistance'!I33/'Aggregate As% of GSDP'!Q32*100</f>
        <v>0.69913254738284714</v>
      </c>
      <c r="J33" s="401">
        <f ca="1">+'Central Assistance'!C33/'Aggregate Resources'!C33*100</f>
        <v>13.996430874910468</v>
      </c>
      <c r="K33" s="401">
        <f ca="1">+'Central Assistance'!D33/'Aggregate Resources'!D33*100</f>
        <v>14.27336787123377</v>
      </c>
      <c r="L33" s="401">
        <f ca="1">+'Central Assistance'!E33/'Aggregate Resources'!E33*100</f>
        <v>8.9408189705328045</v>
      </c>
      <c r="M33" s="401">
        <f ca="1">+'Central Assistance'!F33/'Aggregate Resources'!F33*100</f>
        <v>11.477769381727798</v>
      </c>
      <c r="N33" s="401">
        <f ca="1">+'Central Assistance'!G33/'Aggregate Resources'!G33*100</f>
        <v>10.59034497840468</v>
      </c>
      <c r="O33" s="401">
        <f ca="1">+'Central Assistance'!H33/'Aggregate Resources'!H33*100</f>
        <v>9.7092816091954006</v>
      </c>
      <c r="P33" s="401">
        <f ca="1">+'Central Assistance'!I33/'Aggregate Resources'!I33*100</f>
        <v>8.8675555555555565</v>
      </c>
    </row>
    <row r="34" spans="1:16">
      <c r="A34" s="424">
        <v>15</v>
      </c>
      <c r="B34" s="425" t="s">
        <v>38</v>
      </c>
      <c r="C34" s="401">
        <f ca="1">+'Central Assistance'!C34/'Aggregate As% of GSDP'!K33*100</f>
        <v>0.61735253791841371</v>
      </c>
      <c r="D34" s="401">
        <f ca="1">+'Central Assistance'!D34/'Aggregate As% of GSDP'!L33*100</f>
        <v>0.84161151753144503</v>
      </c>
      <c r="E34" s="401">
        <f ca="1">+'Central Assistance'!E34/'Aggregate As% of GSDP'!M33*100</f>
        <v>0.46968834747661725</v>
      </c>
      <c r="F34" s="401">
        <f ca="1">+'Central Assistance'!F34/'Aggregate As% of GSDP'!N33*100</f>
        <v>0.36620185468869682</v>
      </c>
      <c r="G34" s="401">
        <f ca="1">+'Central Assistance'!G34/'Aggregate As% of GSDP'!O33*100</f>
        <v>0.38506745707277185</v>
      </c>
      <c r="H34" s="401">
        <f ca="1">+'Central Assistance'!H34/'Aggregate As% of GSDP'!P33*100</f>
        <v>0.46656834221208526</v>
      </c>
      <c r="I34" s="401">
        <f ca="1">+'Central Assistance'!I34/'Aggregate As% of GSDP'!Q33*100</f>
        <v>0.37226734907722869</v>
      </c>
      <c r="J34" s="401">
        <f ca="1">+'Central Assistance'!C34/'Aggregate Resources'!C34*100</f>
        <v>15.225962645686113</v>
      </c>
      <c r="K34" s="401">
        <f ca="1">+'Central Assistance'!D34/'Aggregate Resources'!D34*100</f>
        <v>20.753728087692242</v>
      </c>
      <c r="L34" s="401">
        <f ca="1">+'Central Assistance'!E34/'Aggregate Resources'!E34*100</f>
        <v>12.634914475661564</v>
      </c>
      <c r="M34" s="401">
        <f ca="1">+'Central Assistance'!F34/'Aggregate Resources'!F34*100</f>
        <v>10.466279366931561</v>
      </c>
      <c r="N34" s="401">
        <f ca="1">+'Central Assistance'!G34/'Aggregate Resources'!G34*100</f>
        <v>10.738256721417708</v>
      </c>
      <c r="O34" s="401">
        <f ca="1">+'Central Assistance'!H34/'Aggregate Resources'!H34*100</f>
        <v>12.405285714285712</v>
      </c>
      <c r="P34" s="401">
        <f ca="1">+'Central Assistance'!I34/'Aggregate Resources'!I34*100</f>
        <v>8.5258026287438042</v>
      </c>
    </row>
    <row r="35" spans="1:16">
      <c r="A35" s="424">
        <v>16</v>
      </c>
      <c r="B35" s="425" t="s">
        <v>39</v>
      </c>
      <c r="C35" s="401">
        <f ca="1">+'Central Assistance'!C35/'Aggregate As% of GSDP'!K34*100</f>
        <v>0.72984340488635224</v>
      </c>
      <c r="D35" s="401">
        <f ca="1">+'Central Assistance'!D35/'Aggregate As% of GSDP'!L34*100</f>
        <v>1.1684135961410886</v>
      </c>
      <c r="E35" s="401">
        <f ca="1">+'Central Assistance'!E35/'Aggregate As% of GSDP'!M34*100</f>
        <v>1.1030676698624744</v>
      </c>
      <c r="F35" s="401">
        <f ca="1">+'Central Assistance'!F35/'Aggregate As% of GSDP'!N34*100</f>
        <v>1.1453869275731299</v>
      </c>
      <c r="G35" s="401">
        <f ca="1">+'Central Assistance'!G35/'Aggregate As% of GSDP'!O34*100</f>
        <v>1.0034182269107681</v>
      </c>
      <c r="H35" s="401">
        <f ca="1">+'Central Assistance'!H35/'Aggregate As% of GSDP'!P34*100</f>
        <v>0.7183618794948825</v>
      </c>
      <c r="I35" s="401">
        <f ca="1">+'Central Assistance'!I35/'Aggregate As% of GSDP'!Q34*100</f>
        <v>1.2788551573199758</v>
      </c>
      <c r="J35" s="401">
        <f ca="1">+'Central Assistance'!C35/'Aggregate Resources'!C35*100</f>
        <v>11.071677237373965</v>
      </c>
      <c r="K35" s="401">
        <f ca="1">+'Central Assistance'!D35/'Aggregate Resources'!D35*100</f>
        <v>14.931181488617895</v>
      </c>
      <c r="L35" s="401">
        <f ca="1">+'Central Assistance'!E35/'Aggregate Resources'!E35*100</f>
        <v>17.187194395680063</v>
      </c>
      <c r="M35" s="401">
        <f ca="1">+'Central Assistance'!F35/'Aggregate Resources'!F35*100</f>
        <v>17.886596449377119</v>
      </c>
      <c r="N35" s="401">
        <f ca="1">+'Central Assistance'!G35/'Aggregate Resources'!G35*100</f>
        <v>15.4092604198212</v>
      </c>
      <c r="O35" s="401">
        <f ca="1">+'Central Assistance'!H35/'Aggregate Resources'!H35*100</f>
        <v>9.9770014375681964</v>
      </c>
      <c r="P35" s="401">
        <f ca="1">+'Central Assistance'!I35/'Aggregate Resources'!I35*100</f>
        <v>16.381358381502885</v>
      </c>
    </row>
    <row r="36" spans="1:16">
      <c r="A36" s="424">
        <v>17</v>
      </c>
      <c r="B36" s="425" t="s">
        <v>40</v>
      </c>
      <c r="C36" s="401">
        <f ca="1">+'Central Assistance'!C36/'Aggregate As% of GSDP'!K35*100</f>
        <v>0.80835973995185029</v>
      </c>
      <c r="D36" s="401">
        <f ca="1">+'Central Assistance'!D36/'Aggregate As% of GSDP'!L35*100</f>
        <v>0.88200338069029249</v>
      </c>
      <c r="E36" s="401">
        <f ca="1">+'Central Assistance'!E36/'Aggregate As% of GSDP'!M35*100</f>
        <v>0.68528880866425979</v>
      </c>
      <c r="F36" s="401">
        <f ca="1">+'Central Assistance'!F36/'Aggregate As% of GSDP'!N35*100</f>
        <v>0.90310851941278936</v>
      </c>
      <c r="G36" s="401">
        <f ca="1">+'Central Assistance'!G36/'Aggregate As% of GSDP'!O35*100</f>
        <v>0.84785464382795517</v>
      </c>
      <c r="H36" s="401">
        <f ca="1">+'Central Assistance'!H36/'Aggregate As% of GSDP'!P35*100</f>
        <v>0.60821562177502575</v>
      </c>
      <c r="I36" s="401">
        <f ca="1">+'Central Assistance'!I36/'Aggregate As% of GSDP'!Q35*100</f>
        <v>0.95492393847266643</v>
      </c>
      <c r="J36" s="401">
        <f ca="1">+'Central Assistance'!C36/'Aggregate Resources'!C36*100</f>
        <v>32.914755284117327</v>
      </c>
      <c r="K36" s="401">
        <f ca="1">+'Central Assistance'!D36/'Aggregate Resources'!D36*100</f>
        <v>34.457922452136707</v>
      </c>
      <c r="L36" s="401">
        <f ca="1">+'Central Assistance'!E36/'Aggregate Resources'!E36*100</f>
        <v>22.363175389609697</v>
      </c>
      <c r="M36" s="401">
        <f ca="1">+'Central Assistance'!F36/'Aggregate Resources'!F36*100</f>
        <v>32.915357775112334</v>
      </c>
      <c r="N36" s="401">
        <f ca="1">+'Central Assistance'!G36/'Aggregate Resources'!G36*100</f>
        <v>20.54213559016836</v>
      </c>
      <c r="O36" s="401">
        <f ca="1">+'Central Assistance'!H36/'Aggregate Resources'!H36*100</f>
        <v>15.979189278267361</v>
      </c>
      <c r="P36" s="401">
        <f ca="1">+'Central Assistance'!I36/'Aggregate Resources'!I36*100</f>
        <v>22.297981130830642</v>
      </c>
    </row>
    <row r="37" spans="1:16" s="300" customFormat="1" ht="15">
      <c r="A37" s="421"/>
      <c r="B37" s="422" t="s">
        <v>192</v>
      </c>
      <c r="C37" s="403">
        <f ca="1">+'Central Assistance'!C37/'Aggregate As% of GSDP'!K36*100</f>
        <v>0.81915670822856668</v>
      </c>
      <c r="D37" s="403">
        <f ca="1">+'Central Assistance'!D37/'Aggregate As% of GSDP'!L36*100</f>
        <v>0.93739289903515444</v>
      </c>
      <c r="E37" s="403">
        <f ca="1">+'Central Assistance'!E37/'Aggregate As% of GSDP'!M36*100</f>
        <v>0.81415302112864929</v>
      </c>
      <c r="F37" s="403">
        <f ca="1">+'Central Assistance'!F37/'Aggregate As% of GSDP'!N36*100</f>
        <v>0.86019483255867379</v>
      </c>
      <c r="G37" s="403">
        <f ca="1">+'Central Assistance'!G37/'Aggregate As% of GSDP'!O36*100</f>
        <v>0.88481788532360217</v>
      </c>
      <c r="H37" s="403">
        <f ca="1">+'Central Assistance'!H37/'Aggregate As% of GSDP'!P36*100</f>
        <v>0.75624815189488903</v>
      </c>
      <c r="I37" s="403">
        <f ca="1">+'Central Assistance'!I37/'Aggregate As% of GSDP'!Q36*100</f>
        <v>0.79832140884750591</v>
      </c>
      <c r="J37" s="403">
        <f ca="1">+'Central Assistance'!C37/'Aggregate Resources'!C37*100</f>
        <v>16.174971088778086</v>
      </c>
      <c r="K37" s="403">
        <f ca="1">+'Central Assistance'!D37/'Aggregate Resources'!D37*100</f>
        <v>17.093559273125631</v>
      </c>
      <c r="L37" s="403">
        <f ca="1">+'Central Assistance'!E37/'Aggregate Resources'!E37*100</f>
        <v>15.055398317308722</v>
      </c>
      <c r="M37" s="403">
        <f ca="1">+'Central Assistance'!F37/'Aggregate Resources'!F37*100</f>
        <v>16.697936355136221</v>
      </c>
      <c r="N37" s="403">
        <f ca="1">+'Central Assistance'!G37/'Aggregate Resources'!G37*100</f>
        <v>15.665284701209062</v>
      </c>
      <c r="O37" s="403">
        <f ca="1">+'Central Assistance'!H37/'Aggregate Resources'!H37*100</f>
        <v>12.880722538886591</v>
      </c>
      <c r="P37" s="403">
        <f ca="1">+'Central Assistance'!I37/'Aggregate Resources'!I37*100</f>
        <v>12.206900703542445</v>
      </c>
    </row>
    <row r="38" spans="1:16" s="300" customFormat="1" ht="15">
      <c r="A38" s="421"/>
      <c r="B38" s="422" t="s">
        <v>243</v>
      </c>
      <c r="C38" s="403">
        <f ca="1">+'Central Assistance'!C38/'Aggregate As% of GSDP'!K37*100</f>
        <v>1.1816192240206964</v>
      </c>
      <c r="D38" s="403">
        <f ca="1">+'Central Assistance'!D38/'Aggregate As% of GSDP'!L37*100</f>
        <v>1.2822496002061579</v>
      </c>
      <c r="E38" s="403">
        <f ca="1">+'Central Assistance'!E38/'Aggregate As% of GSDP'!M37*100</f>
        <v>1.2301805015075222</v>
      </c>
      <c r="F38" s="403">
        <f ca="1">+'Central Assistance'!F38/'Aggregate As% of GSDP'!N37*100</f>
        <v>1.241339470789429</v>
      </c>
      <c r="G38" s="403">
        <f ca="1">+'Central Assistance'!G38/'Aggregate As% of GSDP'!O37*100</f>
        <v>1.2802905805146336</v>
      </c>
      <c r="H38" s="403">
        <f ca="1">+'Central Assistance'!H38/'Aggregate As% of GSDP'!P37*100</f>
        <v>1.1859215689386653</v>
      </c>
      <c r="I38" s="403">
        <f ca="1">+'Central Assistance'!I38/'Aggregate As% of GSDP'!Q37*100</f>
        <v>1.2392121166243366</v>
      </c>
      <c r="J38" s="403">
        <f ca="1">+'Central Assistance'!C38/'Aggregate Resources'!C38*100</f>
        <v>22.100483313211157</v>
      </c>
      <c r="K38" s="403">
        <f ca="1">+'Central Assistance'!D38/'Aggregate Resources'!D38*100</f>
        <v>22.314693262334146</v>
      </c>
      <c r="L38" s="403">
        <f ca="1">+'Central Assistance'!E38/'Aggregate Resources'!E38*100</f>
        <v>21.871990159138598</v>
      </c>
      <c r="M38" s="403">
        <f ca="1">+'Central Assistance'!F38/'Aggregate Resources'!F38*100</f>
        <v>23.130879640832557</v>
      </c>
      <c r="N38" s="403">
        <f ca="1">+'Central Assistance'!G38/'Aggregate Resources'!G38*100</f>
        <v>22.028554310611366</v>
      </c>
      <c r="O38" s="403">
        <f ca="1">+'Central Assistance'!H38/'Aggregate Resources'!H38*100</f>
        <v>19.654731706919097</v>
      </c>
      <c r="P38" s="403">
        <f ca="1">+'Central Assistance'!I38/'Aggregate Resources'!I38*100</f>
        <v>18.521790387452906</v>
      </c>
    </row>
    <row r="39" spans="1:16">
      <c r="A39" s="421" t="s">
        <v>231</v>
      </c>
      <c r="B39" s="422" t="s">
        <v>248</v>
      </c>
      <c r="C39" s="401"/>
      <c r="D39" s="401"/>
      <c r="E39" s="401"/>
      <c r="F39" s="401"/>
      <c r="G39" s="401"/>
      <c r="H39" s="401"/>
      <c r="I39" s="401"/>
      <c r="J39" s="401"/>
      <c r="K39" s="401"/>
      <c r="L39" s="401"/>
      <c r="M39" s="401"/>
      <c r="N39" s="401"/>
      <c r="O39" s="401"/>
      <c r="P39" s="401"/>
    </row>
    <row r="40" spans="1:16">
      <c r="A40" s="424">
        <v>1</v>
      </c>
      <c r="B40" s="425" t="s">
        <v>233</v>
      </c>
      <c r="C40" s="401">
        <f ca="1">+'Central Assistance'!C40/'Aggregate As% of GSDP'!K39*100</f>
        <v>0.45603905107409454</v>
      </c>
      <c r="D40" s="401">
        <f ca="1">+'Central Assistance'!D40/'Aggregate As% of GSDP'!L39*100</f>
        <v>0.41844955759683017</v>
      </c>
      <c r="E40" s="401">
        <f ca="1">+'Central Assistance'!E40/'Aggregate As% of GSDP'!M39*100</f>
        <v>0.67651721586809976</v>
      </c>
      <c r="F40" s="401">
        <f ca="1">+'Central Assistance'!F40/'Aggregate As% of GSDP'!N39*100</f>
        <v>0.42749640953816576</v>
      </c>
      <c r="G40" s="401">
        <f ca="1">+'Central Assistance'!G40/'Aggregate As% of GSDP'!O39*100</f>
        <v>0.24736241273989162</v>
      </c>
      <c r="H40" s="401">
        <f ca="1">+'Central Assistance'!H40/'Aggregate As% of GSDP'!P39*100</f>
        <v>0.2494766254763498</v>
      </c>
      <c r="I40" s="401">
        <f ca="1">+'Central Assistance'!I40/'Aggregate As% of GSDP'!Q39*100</f>
        <v>3.6427906976744189</v>
      </c>
      <c r="J40" s="401">
        <f ca="1">+'Central Assistance'!C40/'Aggregate Resources'!C40*100</f>
        <v>8.2344212962917993</v>
      </c>
      <c r="K40" s="401">
        <f ca="1">+'Central Assistance'!D40/'Aggregate Resources'!D40*100</f>
        <v>8.2446981502280057</v>
      </c>
      <c r="L40" s="401">
        <f ca="1">+'Central Assistance'!E40/'Aggregate Resources'!E40*100</f>
        <v>13.325586029400682</v>
      </c>
      <c r="M40" s="401">
        <f ca="1">+'Central Assistance'!F40/'Aggregate Resources'!F40*100</f>
        <v>9.4781578947368423</v>
      </c>
      <c r="N40" s="401">
        <f ca="1">+'Central Assistance'!G40/'Aggregate Resources'!G40*100</f>
        <v>4.0560321717298047</v>
      </c>
      <c r="O40" s="401">
        <f ca="1">+'Central Assistance'!H40/'Aggregate Resources'!H40*100</f>
        <v>5.1888175793720723</v>
      </c>
      <c r="P40" s="401">
        <f ca="1">+'Central Assistance'!I40/'Aggregate Resources'!I40*100</f>
        <v>4.7106940935883559</v>
      </c>
    </row>
    <row r="41" spans="1:16">
      <c r="A41" s="424">
        <v>2</v>
      </c>
      <c r="B41" s="425" t="s">
        <v>44</v>
      </c>
      <c r="C41" s="401">
        <f ca="1">+'Central Assistance'!C41/'Aggregate As% of GSDP'!K40*100</f>
        <v>2.7833747702951035</v>
      </c>
      <c r="D41" s="401">
        <f ca="1">+'Central Assistance'!D41/'Aggregate As% of GSDP'!L40*100</f>
        <v>1.5612935323383084</v>
      </c>
      <c r="E41" s="401">
        <f ca="1">+'Central Assistance'!E41/'Aggregate As% of GSDP'!M40*100</f>
        <v>1.7734882964889467</v>
      </c>
      <c r="F41" s="401">
        <f ca="1">+'Central Assistance'!F41/'Aggregate As% of GSDP'!N40*100</f>
        <v>1.3780934922089825</v>
      </c>
      <c r="G41" s="401">
        <f ca="1">+'Central Assistance'!G41/'Aggregate As% of GSDP'!O40*100</f>
        <v>2.5958304853041696</v>
      </c>
      <c r="H41" s="401">
        <f ca="1">+'Central Assistance'!H41/'Aggregate As% of GSDP'!P40*100</f>
        <v>3.1784550953932067</v>
      </c>
      <c r="I41" s="401">
        <f ca="1">+'Central Assistance'!I41/'Aggregate As% of GSDP'!Q40*100</f>
        <v>5.3195348837209302</v>
      </c>
      <c r="J41" s="401">
        <f ca="1">+'Central Assistance'!C41/'Aggregate Resources'!C41*100</f>
        <v>23.694120308048408</v>
      </c>
      <c r="K41" s="401">
        <f ca="1">+'Central Assistance'!D41/'Aggregate Resources'!D41*100</f>
        <v>14.792246754774698</v>
      </c>
      <c r="L41" s="401">
        <f ca="1">+'Central Assistance'!E41/'Aggregate Resources'!E41*100</f>
        <v>15.049712813325906</v>
      </c>
      <c r="M41" s="401">
        <f ca="1">+'Central Assistance'!F41/'Aggregate Resources'!F41*100</f>
        <v>11.54688</v>
      </c>
      <c r="N41" s="401">
        <f ca="1">+'Central Assistance'!G41/'Aggregate Resources'!G41*100</f>
        <v>13.809818181818182</v>
      </c>
      <c r="O41" s="401">
        <f ca="1">+'Central Assistance'!H41/'Aggregate Resources'!H41*100</f>
        <v>39.255747126436788</v>
      </c>
      <c r="P41" s="401">
        <f ca="1">+'Central Assistance'!I41/'Aggregate Resources'!I41*100</f>
        <v>57.184999999999995</v>
      </c>
    </row>
    <row r="42" spans="1:16" s="300" customFormat="1" ht="15">
      <c r="A42" s="437"/>
      <c r="B42" s="428" t="s">
        <v>234</v>
      </c>
      <c r="C42" s="403">
        <f ca="1">+'Central Assistance'!C42/'Aggregate As% of GSDP'!K41*100</f>
        <v>0.58480962690941285</v>
      </c>
      <c r="D42" s="403">
        <f ca="1">+'Central Assistance'!D42/'Aggregate As% of GSDP'!L41*100</f>
        <v>0.475997454693035</v>
      </c>
      <c r="E42" s="403">
        <f ca="1">+'Central Assistance'!E42/'Aggregate As% of GSDP'!M41*100</f>
        <v>0.73522005193042894</v>
      </c>
      <c r="F42" s="403">
        <f ca="1">+'Central Assistance'!F42/'Aggregate As% of GSDP'!N41*100</f>
        <v>0.47431021836032278</v>
      </c>
      <c r="G42" s="403">
        <f ca="1">+'Central Assistance'!G42/'Aggregate As% of GSDP'!O41*100</f>
        <v>0.35763045313187009</v>
      </c>
      <c r="H42" s="403">
        <f ca="1">+'Central Assistance'!H42/'Aggregate As% of GSDP'!P41*100</f>
        <v>0.38727959870064832</v>
      </c>
      <c r="I42" s="403">
        <f ca="1">+'Central Assistance'!I42/'Aggregate As% of GSDP'!Q41*100</f>
        <v>4.4811627906976748</v>
      </c>
      <c r="J42" s="403">
        <f ca="1">+'Central Assistance'!C42/'Aggregate Resources'!C42*100</f>
        <v>9.9427989340494687</v>
      </c>
      <c r="K42" s="403">
        <f ca="1">+'Central Assistance'!D42/'Aggregate Resources'!D42*100</f>
        <v>8.8949967639874234</v>
      </c>
      <c r="L42" s="403">
        <f ca="1">+'Central Assistance'!E42/'Aggregate Resources'!E42*100</f>
        <v>13.525605648390982</v>
      </c>
      <c r="M42" s="403">
        <f ca="1">+'Central Assistance'!F42/'Aggregate Resources'!F42*100</f>
        <v>9.7275216972034713</v>
      </c>
      <c r="N42" s="403">
        <f ca="1">+'Central Assistance'!G42/'Aggregate Resources'!G42*100</f>
        <v>5.3418669233582818</v>
      </c>
      <c r="O42" s="403">
        <f ca="1">+'Central Assistance'!H42/'Aggregate Resources'!H42*100</f>
        <v>7.8038087938084368</v>
      </c>
      <c r="P42" s="403">
        <f ca="1">+'Central Assistance'!I42/'Aggregate Resources'!I42*100</f>
        <v>10.345216364222056</v>
      </c>
    </row>
    <row r="43" spans="1:16" s="300" customFormat="1" ht="15">
      <c r="A43" s="438"/>
      <c r="B43" s="428" t="s">
        <v>249</v>
      </c>
      <c r="C43" s="403">
        <f ca="1">+'Central Assistance'!C43/'Aggregate As% of GSDP'!K42*100</f>
        <v>1.158667358237075</v>
      </c>
      <c r="D43" s="403">
        <f ca="1">+'Central Assistance'!D43/'Aggregate As% of GSDP'!L42*100</f>
        <v>1.2501402092573033</v>
      </c>
      <c r="E43" s="403">
        <f ca="1">+'Central Assistance'!E43/'Aggregate As% of GSDP'!M42*100</f>
        <v>1.2104362284297372</v>
      </c>
      <c r="F43" s="403">
        <f ca="1">+'Central Assistance'!F43/'Aggregate As% of GSDP'!N42*100</f>
        <v>1.2117259793169739</v>
      </c>
      <c r="G43" s="403">
        <f ca="1">+'Central Assistance'!G43/'Aggregate As% of GSDP'!O42*100</f>
        <v>1.2439343442991346</v>
      </c>
      <c r="H43" s="403">
        <f ca="1">+'Central Assistance'!H43/'Aggregate As% of GSDP'!P42*100</f>
        <v>1.1537103074126678</v>
      </c>
      <c r="I43" s="403">
        <f ca="1">+'Central Assistance'!I43/'Aggregate As% of GSDP'!Q42*100</f>
        <v>1.2531236937904195</v>
      </c>
      <c r="J43" s="403">
        <f ca="1">+'Central Assistance'!C43/'Aggregate Resources'!C43*100</f>
        <v>21.58810047329774</v>
      </c>
      <c r="K43" s="403">
        <f ca="1">+'Central Assistance'!D43/'Aggregate Resources'!D43*100</f>
        <v>21.815611857854194</v>
      </c>
      <c r="L43" s="403">
        <f ca="1">+'Central Assistance'!E43/'Aggregate Resources'!E43*100</f>
        <v>21.549786315739471</v>
      </c>
      <c r="M43" s="403">
        <f ca="1">+'Central Assistance'!F43/'Aggregate Resources'!F43*100</f>
        <v>22.659046132238629</v>
      </c>
      <c r="N43" s="403">
        <f ca="1">+'Central Assistance'!G43/'Aggregate Resources'!G43*100</f>
        <v>21.275659516098298</v>
      </c>
      <c r="O43" s="403">
        <f ca="1">+'Central Assistance'!H43/'Aggregate Resources'!H43*100</f>
        <v>19.25876610184331</v>
      </c>
      <c r="P43" s="403">
        <f ca="1">+'Central Assistance'!I43/'Aggregate Resources'!I43*100</f>
        <v>18.29984508686357</v>
      </c>
    </row>
    <row r="44" spans="1:16">
      <c r="B44" s="545" t="s">
        <v>258</v>
      </c>
      <c r="C44" s="545"/>
      <c r="D44" s="545"/>
      <c r="E44" s="545"/>
      <c r="F44" s="545"/>
      <c r="G44" s="545"/>
      <c r="H44" s="545"/>
      <c r="I44" s="545"/>
      <c r="J44" s="545"/>
      <c r="K44" s="545"/>
      <c r="L44" s="545"/>
    </row>
    <row r="45" spans="1:16">
      <c r="B45" s="296"/>
      <c r="C45" s="297" t="s">
        <v>48</v>
      </c>
      <c r="D45" s="297" t="s">
        <v>49</v>
      </c>
      <c r="E45" s="297" t="s">
        <v>5</v>
      </c>
      <c r="F45" s="297" t="s">
        <v>6</v>
      </c>
      <c r="G45" s="298" t="s">
        <v>7</v>
      </c>
      <c r="H45" s="299" t="s">
        <v>122</v>
      </c>
      <c r="I45" s="299" t="s">
        <v>139</v>
      </c>
    </row>
    <row r="46" spans="1:16">
      <c r="B46" s="300" t="s">
        <v>216</v>
      </c>
      <c r="C46" s="301">
        <v>1.0575600000000001</v>
      </c>
      <c r="D46" s="301">
        <v>1.1492</v>
      </c>
      <c r="E46" s="301">
        <v>1.21888</v>
      </c>
      <c r="F46" s="301">
        <v>1.3283799999999999</v>
      </c>
      <c r="G46" s="301">
        <v>1.4418200000000001</v>
      </c>
      <c r="H46" s="302">
        <v>1.5452399999999999</v>
      </c>
      <c r="I46" s="302">
        <v>1.6520900000000001</v>
      </c>
    </row>
    <row r="47" spans="1:16">
      <c r="C47" s="301">
        <v>257.49</v>
      </c>
      <c r="D47" s="301">
        <v>156.9</v>
      </c>
      <c r="E47" s="301"/>
      <c r="F47" s="301"/>
      <c r="G47" s="301"/>
      <c r="H47" s="301"/>
      <c r="I47" s="301"/>
    </row>
    <row r="49" spans="3:10">
      <c r="C49" s="418"/>
      <c r="D49" s="418"/>
      <c r="E49" s="418"/>
      <c r="F49" s="418"/>
      <c r="G49" s="418"/>
      <c r="H49" s="418"/>
      <c r="I49" s="418"/>
      <c r="J49" s="418"/>
    </row>
    <row r="50" spans="3:10">
      <c r="C50" s="418"/>
      <c r="D50" s="418"/>
      <c r="E50" s="418"/>
      <c r="F50" s="418"/>
      <c r="G50" s="418"/>
      <c r="H50" s="418"/>
      <c r="I50" s="418"/>
      <c r="J50" s="418"/>
    </row>
    <row r="52" spans="3:10">
      <c r="C52" s="418"/>
      <c r="D52" s="418"/>
      <c r="E52" s="418"/>
      <c r="F52" s="418"/>
      <c r="G52" s="418"/>
      <c r="H52" s="418"/>
      <c r="I52" s="418"/>
      <c r="J52" s="418"/>
    </row>
  </sheetData>
  <mergeCells count="7">
    <mergeCell ref="A1:P1"/>
    <mergeCell ref="O2:P2"/>
    <mergeCell ref="B44:L44"/>
    <mergeCell ref="A3:A4"/>
    <mergeCell ref="B3:B4"/>
    <mergeCell ref="C3:I3"/>
    <mergeCell ref="J3:P3"/>
  </mergeCells>
  <phoneticPr fontId="42" type="noConversion"/>
  <printOptions horizontalCentered="1"/>
  <pageMargins left="0.23622047244094499" right="0.27559055118110198" top="0.78740157480314998" bottom="0.39370078740157499" header="0" footer="0"/>
  <pageSetup paperSize="9" scale="67" orientation="landscape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P46"/>
  <sheetViews>
    <sheetView view="pageBreakPreview" zoomScaleNormal="100" workbookViewId="0">
      <pane xSplit="2" ySplit="5" topLeftCell="C6" activePane="bottomRight" state="frozen"/>
      <selection activeCell="J4" sqref="J4:P5"/>
      <selection pane="topRight" activeCell="J4" sqref="J4:P5"/>
      <selection pane="bottomLeft" activeCell="J4" sqref="J4:P5"/>
      <selection pane="bottomRight" activeCell="G5" sqref="G5"/>
    </sheetView>
  </sheetViews>
  <sheetFormatPr defaultRowHeight="15"/>
  <cols>
    <col min="1" max="1" width="5.28515625" style="400" customWidth="1"/>
    <col min="2" max="2" width="35.28515625" style="296" customWidth="1"/>
    <col min="3" max="15" width="12" style="296" customWidth="1"/>
    <col min="16" max="16" width="11.42578125" style="296" customWidth="1"/>
    <col min="17" max="16384" width="9.140625" style="296"/>
  </cols>
  <sheetData>
    <row r="1" spans="1:16" ht="48" customHeight="1">
      <c r="A1" s="533" t="s">
        <v>275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</row>
    <row r="2" spans="1:16" ht="24" customHeight="1">
      <c r="A2" s="361"/>
      <c r="B2" s="122">
        <v>41834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551" t="s">
        <v>84</v>
      </c>
      <c r="P2" s="551"/>
    </row>
    <row r="3" spans="1:16" s="409" customFormat="1" ht="23.25" customHeight="1">
      <c r="A3" s="541" t="s">
        <v>71</v>
      </c>
      <c r="B3" s="543" t="s">
        <v>85</v>
      </c>
      <c r="C3" s="547" t="s">
        <v>276</v>
      </c>
      <c r="D3" s="548"/>
      <c r="E3" s="548"/>
      <c r="F3" s="548"/>
      <c r="G3" s="548"/>
      <c r="H3" s="548"/>
      <c r="I3" s="549"/>
      <c r="J3" s="550" t="s">
        <v>277</v>
      </c>
      <c r="K3" s="550"/>
      <c r="L3" s="550"/>
      <c r="M3" s="550"/>
      <c r="N3" s="550"/>
      <c r="O3" s="550"/>
      <c r="P3" s="550"/>
    </row>
    <row r="4" spans="1:16" s="409" customFormat="1" ht="15" customHeight="1">
      <c r="A4" s="541"/>
      <c r="B4" s="543"/>
      <c r="C4" s="377" t="s">
        <v>48</v>
      </c>
      <c r="D4" s="377" t="s">
        <v>49</v>
      </c>
      <c r="E4" s="377" t="s">
        <v>5</v>
      </c>
      <c r="F4" s="377" t="s">
        <v>6</v>
      </c>
      <c r="G4" s="377" t="s">
        <v>7</v>
      </c>
      <c r="H4" s="377" t="s">
        <v>122</v>
      </c>
      <c r="I4" s="377" t="s">
        <v>139</v>
      </c>
      <c r="J4" s="377" t="s">
        <v>48</v>
      </c>
      <c r="K4" s="377" t="s">
        <v>49</v>
      </c>
      <c r="L4" s="377" t="s">
        <v>5</v>
      </c>
      <c r="M4" s="377" t="s">
        <v>6</v>
      </c>
      <c r="N4" s="377" t="s">
        <v>7</v>
      </c>
      <c r="O4" s="377" t="s">
        <v>122</v>
      </c>
      <c r="P4" s="377" t="s">
        <v>278</v>
      </c>
    </row>
    <row r="5" spans="1:16" s="409" customFormat="1" ht="24">
      <c r="A5" s="541"/>
      <c r="B5" s="543"/>
      <c r="C5" s="377" t="s">
        <v>8</v>
      </c>
      <c r="D5" s="377" t="s">
        <v>8</v>
      </c>
      <c r="E5" s="377" t="s">
        <v>8</v>
      </c>
      <c r="F5" s="377" t="s">
        <v>8</v>
      </c>
      <c r="G5" s="377" t="s">
        <v>271</v>
      </c>
      <c r="H5" s="377" t="s">
        <v>224</v>
      </c>
      <c r="I5" s="377" t="s">
        <v>225</v>
      </c>
      <c r="J5" s="377" t="s">
        <v>8</v>
      </c>
      <c r="K5" s="377" t="s">
        <v>8</v>
      </c>
      <c r="L5" s="377" t="s">
        <v>8</v>
      </c>
      <c r="M5" s="377" t="s">
        <v>8</v>
      </c>
      <c r="N5" s="377" t="s">
        <v>271</v>
      </c>
      <c r="O5" s="377" t="s">
        <v>224</v>
      </c>
      <c r="P5" s="377" t="s">
        <v>225</v>
      </c>
    </row>
    <row r="6" spans="1:16" ht="15.75">
      <c r="A6" s="411" t="s">
        <v>226</v>
      </c>
      <c r="B6" s="379" t="s">
        <v>227</v>
      </c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</row>
    <row r="7" spans="1:16" ht="18" customHeight="1">
      <c r="A7" s="412">
        <v>1</v>
      </c>
      <c r="B7" s="383" t="s">
        <v>12</v>
      </c>
      <c r="C7" s="401">
        <v>0</v>
      </c>
      <c r="D7" s="401">
        <v>0</v>
      </c>
      <c r="E7" s="401">
        <v>0</v>
      </c>
      <c r="F7" s="401">
        <v>10.85</v>
      </c>
      <c r="G7" s="401">
        <v>0</v>
      </c>
      <c r="H7" s="401">
        <v>2.99</v>
      </c>
      <c r="I7" s="401">
        <v>0</v>
      </c>
      <c r="J7" s="401">
        <f t="shared" ref="J7:J17" si="0">+C7/C$46</f>
        <v>0</v>
      </c>
      <c r="K7" s="401">
        <f t="shared" ref="K7:K17" si="1">+D7/D$46</f>
        <v>0</v>
      </c>
      <c r="L7" s="401">
        <f t="shared" ref="L7:L17" si="2">+E7/E$46</f>
        <v>0</v>
      </c>
      <c r="M7" s="401">
        <f t="shared" ref="M7:M17" si="3">+F7/F$46</f>
        <v>8.1678435387464425</v>
      </c>
      <c r="N7" s="401">
        <f t="shared" ref="N7:N17" si="4">+G7/G$46</f>
        <v>0</v>
      </c>
      <c r="O7" s="380">
        <f t="shared" ref="O7:O17" si="5">+H7/H$46</f>
        <v>1.9349745023426783</v>
      </c>
      <c r="P7" s="380">
        <f t="shared" ref="P7:P17" si="6">+I7/I$46</f>
        <v>0</v>
      </c>
    </row>
    <row r="8" spans="1:16" ht="15.75">
      <c r="A8" s="412">
        <v>2</v>
      </c>
      <c r="B8" s="383" t="s">
        <v>13</v>
      </c>
      <c r="C8" s="401">
        <v>-35.96</v>
      </c>
      <c r="D8" s="401">
        <v>132.52000000000001</v>
      </c>
      <c r="E8" s="401">
        <v>-220.37</v>
      </c>
      <c r="F8" s="401">
        <v>-967.54000000000008</v>
      </c>
      <c r="G8" s="401">
        <v>-1014.67</v>
      </c>
      <c r="H8" s="401">
        <v>0</v>
      </c>
      <c r="I8" s="401">
        <v>0</v>
      </c>
      <c r="J8" s="401">
        <f t="shared" si="0"/>
        <v>-34.002798895570933</v>
      </c>
      <c r="K8" s="401">
        <f t="shared" si="1"/>
        <v>115.31500174034112</v>
      </c>
      <c r="L8" s="401">
        <f t="shared" si="2"/>
        <v>-180.79712522971909</v>
      </c>
      <c r="M8" s="401">
        <f t="shared" si="3"/>
        <v>-728.3608605971184</v>
      </c>
      <c r="N8" s="401">
        <f t="shared" si="4"/>
        <v>-703.74249212800476</v>
      </c>
      <c r="O8" s="380">
        <f t="shared" si="5"/>
        <v>0</v>
      </c>
      <c r="P8" s="380">
        <f t="shared" si="6"/>
        <v>0</v>
      </c>
    </row>
    <row r="9" spans="1:16" ht="15.75">
      <c r="A9" s="412">
        <v>3</v>
      </c>
      <c r="B9" s="383" t="s">
        <v>14</v>
      </c>
      <c r="C9" s="401">
        <v>0</v>
      </c>
      <c r="D9" s="401">
        <v>0</v>
      </c>
      <c r="E9" s="401">
        <v>0</v>
      </c>
      <c r="F9" s="401">
        <v>0</v>
      </c>
      <c r="G9" s="401">
        <v>350</v>
      </c>
      <c r="H9" s="401">
        <v>350</v>
      </c>
      <c r="I9" s="401">
        <v>350</v>
      </c>
      <c r="J9" s="401">
        <f t="shared" si="0"/>
        <v>0</v>
      </c>
      <c r="K9" s="401">
        <f t="shared" si="1"/>
        <v>0</v>
      </c>
      <c r="L9" s="401">
        <f t="shared" si="2"/>
        <v>0</v>
      </c>
      <c r="M9" s="401">
        <f t="shared" si="3"/>
        <v>0</v>
      </c>
      <c r="N9" s="401">
        <f t="shared" si="4"/>
        <v>242.74874811002758</v>
      </c>
      <c r="O9" s="380">
        <f t="shared" si="5"/>
        <v>226.50203204680179</v>
      </c>
      <c r="P9" s="380">
        <f t="shared" si="6"/>
        <v>211.85286515867779</v>
      </c>
    </row>
    <row r="10" spans="1:16" ht="15.75">
      <c r="A10" s="412">
        <v>4</v>
      </c>
      <c r="B10" s="383" t="s">
        <v>228</v>
      </c>
      <c r="C10" s="401">
        <v>0</v>
      </c>
      <c r="D10" s="401">
        <v>0</v>
      </c>
      <c r="E10" s="401">
        <v>0</v>
      </c>
      <c r="F10" s="401">
        <v>0</v>
      </c>
      <c r="G10" s="401">
        <v>0</v>
      </c>
      <c r="H10" s="401">
        <v>0</v>
      </c>
      <c r="I10" s="401">
        <v>0</v>
      </c>
      <c r="J10" s="401">
        <f t="shared" si="0"/>
        <v>0</v>
      </c>
      <c r="K10" s="401">
        <f t="shared" si="1"/>
        <v>0</v>
      </c>
      <c r="L10" s="401">
        <f t="shared" si="2"/>
        <v>0</v>
      </c>
      <c r="M10" s="401">
        <f t="shared" si="3"/>
        <v>0</v>
      </c>
      <c r="N10" s="401">
        <f t="shared" si="4"/>
        <v>0</v>
      </c>
      <c r="O10" s="380">
        <f t="shared" si="5"/>
        <v>0</v>
      </c>
      <c r="P10" s="380">
        <f t="shared" si="6"/>
        <v>0</v>
      </c>
    </row>
    <row r="11" spans="1:16" ht="15.75">
      <c r="A11" s="412">
        <v>5</v>
      </c>
      <c r="B11" s="383" t="s">
        <v>16</v>
      </c>
      <c r="C11" s="401">
        <v>0</v>
      </c>
      <c r="D11" s="401">
        <v>0</v>
      </c>
      <c r="E11" s="401">
        <v>0</v>
      </c>
      <c r="F11" s="401">
        <v>0</v>
      </c>
      <c r="G11" s="401">
        <v>0</v>
      </c>
      <c r="H11" s="401">
        <v>0</v>
      </c>
      <c r="I11" s="401">
        <v>0</v>
      </c>
      <c r="J11" s="401">
        <f t="shared" si="0"/>
        <v>0</v>
      </c>
      <c r="K11" s="401">
        <f t="shared" si="1"/>
        <v>0</v>
      </c>
      <c r="L11" s="401">
        <f t="shared" si="2"/>
        <v>0</v>
      </c>
      <c r="M11" s="401">
        <f t="shared" si="3"/>
        <v>0</v>
      </c>
      <c r="N11" s="401">
        <f t="shared" si="4"/>
        <v>0</v>
      </c>
      <c r="O11" s="380">
        <f t="shared" si="5"/>
        <v>0</v>
      </c>
      <c r="P11" s="380">
        <f t="shared" si="6"/>
        <v>0</v>
      </c>
    </row>
    <row r="12" spans="1:16" ht="15.75">
      <c r="A12" s="412">
        <v>6</v>
      </c>
      <c r="B12" s="383" t="s">
        <v>17</v>
      </c>
      <c r="C12" s="401">
        <v>0</v>
      </c>
      <c r="D12" s="401">
        <v>0</v>
      </c>
      <c r="E12" s="401">
        <v>0</v>
      </c>
      <c r="F12" s="401">
        <v>0</v>
      </c>
      <c r="G12" s="401">
        <v>448.81</v>
      </c>
      <c r="H12" s="401">
        <v>400</v>
      </c>
      <c r="I12" s="401">
        <v>400</v>
      </c>
      <c r="J12" s="401">
        <f t="shared" si="0"/>
        <v>0</v>
      </c>
      <c r="K12" s="401">
        <f t="shared" si="1"/>
        <v>0</v>
      </c>
      <c r="L12" s="401">
        <f t="shared" si="2"/>
        <v>0</v>
      </c>
      <c r="M12" s="401">
        <f t="shared" si="3"/>
        <v>0</v>
      </c>
      <c r="N12" s="401">
        <f t="shared" si="4"/>
        <v>311.28018754074708</v>
      </c>
      <c r="O12" s="380">
        <f t="shared" si="5"/>
        <v>258.8594651963449</v>
      </c>
      <c r="P12" s="380">
        <f t="shared" si="6"/>
        <v>242.11756018134605</v>
      </c>
    </row>
    <row r="13" spans="1:16" ht="15.75">
      <c r="A13" s="412">
        <v>7</v>
      </c>
      <c r="B13" s="383" t="s">
        <v>18</v>
      </c>
      <c r="C13" s="401">
        <v>-1.17</v>
      </c>
      <c r="D13" s="401">
        <v>1.0900000000000001</v>
      </c>
      <c r="E13" s="401">
        <v>0.99</v>
      </c>
      <c r="F13" s="401">
        <v>-0.61</v>
      </c>
      <c r="G13" s="401">
        <v>11.629999999999999</v>
      </c>
      <c r="H13" s="401">
        <v>0</v>
      </c>
      <c r="I13" s="401">
        <v>0</v>
      </c>
      <c r="J13" s="401">
        <f t="shared" si="0"/>
        <v>-1.1063202087824804</v>
      </c>
      <c r="K13" s="401">
        <f t="shared" si="1"/>
        <v>0.94848590323703452</v>
      </c>
      <c r="L13" s="401">
        <f t="shared" si="2"/>
        <v>0.8122210553951168</v>
      </c>
      <c r="M13" s="401">
        <f t="shared" si="3"/>
        <v>-0.45920595010463877</v>
      </c>
      <c r="N13" s="401">
        <f t="shared" si="4"/>
        <v>8.0661941157703438</v>
      </c>
      <c r="O13" s="380">
        <f t="shared" si="5"/>
        <v>0</v>
      </c>
      <c r="P13" s="380">
        <f t="shared" si="6"/>
        <v>0</v>
      </c>
    </row>
    <row r="14" spans="1:16" ht="15.75">
      <c r="A14" s="412">
        <v>8</v>
      </c>
      <c r="B14" s="383" t="s">
        <v>19</v>
      </c>
      <c r="C14" s="401">
        <v>0</v>
      </c>
      <c r="D14" s="401">
        <v>0</v>
      </c>
      <c r="E14" s="401">
        <v>0</v>
      </c>
      <c r="F14" s="401">
        <v>0</v>
      </c>
      <c r="G14" s="401">
        <v>0</v>
      </c>
      <c r="H14" s="401">
        <v>0</v>
      </c>
      <c r="I14" s="401">
        <v>0</v>
      </c>
      <c r="J14" s="401">
        <f t="shared" si="0"/>
        <v>0</v>
      </c>
      <c r="K14" s="401">
        <f t="shared" si="1"/>
        <v>0</v>
      </c>
      <c r="L14" s="401">
        <f t="shared" si="2"/>
        <v>0</v>
      </c>
      <c r="M14" s="401">
        <f t="shared" si="3"/>
        <v>0</v>
      </c>
      <c r="N14" s="401">
        <f t="shared" si="4"/>
        <v>0</v>
      </c>
      <c r="O14" s="380">
        <f t="shared" si="5"/>
        <v>0</v>
      </c>
      <c r="P14" s="380">
        <f t="shared" si="6"/>
        <v>0</v>
      </c>
    </row>
    <row r="15" spans="1:16" ht="15.75">
      <c r="A15" s="412">
        <v>9</v>
      </c>
      <c r="B15" s="383" t="s">
        <v>20</v>
      </c>
      <c r="C15" s="401">
        <v>0</v>
      </c>
      <c r="D15" s="401">
        <v>0</v>
      </c>
      <c r="E15" s="401">
        <v>0</v>
      </c>
      <c r="F15" s="401">
        <v>0</v>
      </c>
      <c r="G15" s="401">
        <v>0</v>
      </c>
      <c r="H15" s="401">
        <v>0</v>
      </c>
      <c r="I15" s="401">
        <v>0</v>
      </c>
      <c r="J15" s="401">
        <f t="shared" si="0"/>
        <v>0</v>
      </c>
      <c r="K15" s="401">
        <f t="shared" si="1"/>
        <v>0</v>
      </c>
      <c r="L15" s="401">
        <f t="shared" si="2"/>
        <v>0</v>
      </c>
      <c r="M15" s="401">
        <f t="shared" si="3"/>
        <v>0</v>
      </c>
      <c r="N15" s="401">
        <f t="shared" si="4"/>
        <v>0</v>
      </c>
      <c r="O15" s="380">
        <f t="shared" si="5"/>
        <v>0</v>
      </c>
      <c r="P15" s="380">
        <f t="shared" si="6"/>
        <v>0</v>
      </c>
    </row>
    <row r="16" spans="1:16" ht="15.75">
      <c r="A16" s="412">
        <v>10</v>
      </c>
      <c r="B16" s="383" t="s">
        <v>21</v>
      </c>
      <c r="C16" s="401">
        <v>0</v>
      </c>
      <c r="D16" s="401">
        <v>0</v>
      </c>
      <c r="E16" s="401">
        <v>0</v>
      </c>
      <c r="F16" s="401">
        <v>0</v>
      </c>
      <c r="G16" s="401">
        <v>0</v>
      </c>
      <c r="H16" s="401">
        <v>0</v>
      </c>
      <c r="I16" s="401">
        <v>0</v>
      </c>
      <c r="J16" s="401">
        <f t="shared" si="0"/>
        <v>0</v>
      </c>
      <c r="K16" s="401">
        <f t="shared" si="1"/>
        <v>0</v>
      </c>
      <c r="L16" s="401">
        <f t="shared" si="2"/>
        <v>0</v>
      </c>
      <c r="M16" s="401">
        <f t="shared" si="3"/>
        <v>0</v>
      </c>
      <c r="N16" s="401">
        <f t="shared" si="4"/>
        <v>0</v>
      </c>
      <c r="O16" s="380">
        <f t="shared" si="5"/>
        <v>0</v>
      </c>
      <c r="P16" s="380">
        <f t="shared" si="6"/>
        <v>0</v>
      </c>
    </row>
    <row r="17" spans="1:16" ht="15.75">
      <c r="A17" s="412">
        <v>11</v>
      </c>
      <c r="B17" s="383" t="s">
        <v>22</v>
      </c>
      <c r="C17" s="401">
        <v>970.13406806966714</v>
      </c>
      <c r="D17" s="401">
        <v>424.96511646514972</v>
      </c>
      <c r="E17" s="401">
        <v>996.66</v>
      </c>
      <c r="F17" s="401">
        <v>1397.4524999999999</v>
      </c>
      <c r="G17" s="401">
        <v>615.04</v>
      </c>
      <c r="H17" s="401">
        <v>355</v>
      </c>
      <c r="I17" s="401">
        <v>500</v>
      </c>
      <c r="J17" s="401">
        <f t="shared" si="0"/>
        <v>917.33241430241981</v>
      </c>
      <c r="K17" s="401">
        <f t="shared" si="1"/>
        <v>369.79213058227441</v>
      </c>
      <c r="L17" s="401">
        <f t="shared" si="2"/>
        <v>817.68508794959303</v>
      </c>
      <c r="M17" s="401">
        <f t="shared" si="3"/>
        <v>1051.9975458829551</v>
      </c>
      <c r="N17" s="401">
        <f t="shared" si="4"/>
        <v>426.57197153597531</v>
      </c>
      <c r="O17" s="380">
        <f t="shared" si="5"/>
        <v>229.73777536175612</v>
      </c>
      <c r="P17" s="380">
        <f t="shared" si="6"/>
        <v>302.64695022668258</v>
      </c>
    </row>
    <row r="18" spans="1:16" ht="15.75">
      <c r="A18" s="413"/>
      <c r="B18" s="379" t="s">
        <v>229</v>
      </c>
      <c r="C18" s="403">
        <f t="shared" ref="C18:M18" si="7">SUM(C7:C17)</f>
        <v>933.00406806966714</v>
      </c>
      <c r="D18" s="403">
        <f t="shared" si="7"/>
        <v>558.57511646514968</v>
      </c>
      <c r="E18" s="403">
        <f t="shared" si="7"/>
        <v>777.28</v>
      </c>
      <c r="F18" s="403">
        <f t="shared" si="7"/>
        <v>440.1524999999998</v>
      </c>
      <c r="G18" s="403">
        <f t="shared" si="7"/>
        <v>410.81</v>
      </c>
      <c r="H18" s="403">
        <f t="shared" si="7"/>
        <v>1107.99</v>
      </c>
      <c r="I18" s="403">
        <f t="shared" si="7"/>
        <v>1250</v>
      </c>
      <c r="J18" s="403">
        <f t="shared" si="7"/>
        <v>882.22329519806635</v>
      </c>
      <c r="K18" s="403">
        <f t="shared" si="7"/>
        <v>486.05561822585253</v>
      </c>
      <c r="L18" s="403">
        <f t="shared" si="7"/>
        <v>637.70018377526912</v>
      </c>
      <c r="M18" s="403">
        <f t="shared" si="7"/>
        <v>331.34532287447848</v>
      </c>
      <c r="N18" s="403">
        <f t="shared" ref="N18:N43" si="8">+G18/G$46</f>
        <v>284.92460917451552</v>
      </c>
      <c r="O18" s="384">
        <f t="shared" ref="O18:O43" si="9">+H18/H$46</f>
        <v>717.03424710724551</v>
      </c>
      <c r="P18" s="384">
        <f t="shared" ref="P18:P43" si="10">+I18/I$46</f>
        <v>756.61737556670641</v>
      </c>
    </row>
    <row r="19" spans="1:16" ht="15.75">
      <c r="A19" s="411" t="s">
        <v>230</v>
      </c>
      <c r="B19" s="379" t="s">
        <v>310</v>
      </c>
      <c r="C19" s="443"/>
      <c r="D19" s="443"/>
      <c r="E19" s="443"/>
      <c r="F19" s="443"/>
      <c r="G19" s="443"/>
      <c r="H19" s="443"/>
      <c r="I19" s="443"/>
      <c r="J19" s="443"/>
      <c r="K19" s="443"/>
      <c r="L19" s="443"/>
      <c r="M19" s="443"/>
      <c r="N19" s="401">
        <f t="shared" si="8"/>
        <v>0</v>
      </c>
      <c r="O19" s="380">
        <f t="shared" si="9"/>
        <v>0</v>
      </c>
      <c r="P19" s="380">
        <f t="shared" si="10"/>
        <v>0</v>
      </c>
    </row>
    <row r="20" spans="1:16" ht="15.75">
      <c r="A20" s="412">
        <v>1</v>
      </c>
      <c r="B20" s="383" t="s">
        <v>25</v>
      </c>
      <c r="C20" s="401">
        <v>0</v>
      </c>
      <c r="D20" s="401">
        <v>0</v>
      </c>
      <c r="E20" s="401">
        <v>0</v>
      </c>
      <c r="F20" s="401">
        <v>0</v>
      </c>
      <c r="G20" s="401">
        <v>0</v>
      </c>
      <c r="H20" s="401">
        <v>0</v>
      </c>
      <c r="I20" s="401">
        <v>0</v>
      </c>
      <c r="J20" s="401">
        <f t="shared" ref="J20:J36" si="11">+C20/C$46</f>
        <v>0</v>
      </c>
      <c r="K20" s="401">
        <f t="shared" ref="K20:K36" si="12">+D20/D$46</f>
        <v>0</v>
      </c>
      <c r="L20" s="401">
        <f t="shared" ref="L20:L36" si="13">+E20/E$46</f>
        <v>0</v>
      </c>
      <c r="M20" s="401">
        <f t="shared" ref="M20:M36" si="14">+F20/F$46</f>
        <v>0</v>
      </c>
      <c r="N20" s="401">
        <f t="shared" si="8"/>
        <v>0</v>
      </c>
      <c r="O20" s="380">
        <f t="shared" si="9"/>
        <v>0</v>
      </c>
      <c r="P20" s="380">
        <f t="shared" si="10"/>
        <v>0</v>
      </c>
    </row>
    <row r="21" spans="1:16" ht="15.75">
      <c r="A21" s="412">
        <v>2</v>
      </c>
      <c r="B21" s="383" t="s">
        <v>26</v>
      </c>
      <c r="C21" s="401">
        <v>0</v>
      </c>
      <c r="D21" s="401">
        <v>0</v>
      </c>
      <c r="E21" s="401">
        <v>0</v>
      </c>
      <c r="F21" s="401">
        <v>0</v>
      </c>
      <c r="G21" s="401">
        <v>0</v>
      </c>
      <c r="H21" s="401">
        <v>0</v>
      </c>
      <c r="I21" s="401">
        <v>0</v>
      </c>
      <c r="J21" s="401">
        <f t="shared" si="11"/>
        <v>0</v>
      </c>
      <c r="K21" s="401">
        <f t="shared" si="12"/>
        <v>0</v>
      </c>
      <c r="L21" s="401">
        <f t="shared" si="13"/>
        <v>0</v>
      </c>
      <c r="M21" s="401">
        <f t="shared" si="14"/>
        <v>0</v>
      </c>
      <c r="N21" s="401">
        <f t="shared" si="8"/>
        <v>0</v>
      </c>
      <c r="O21" s="380">
        <f t="shared" si="9"/>
        <v>0</v>
      </c>
      <c r="P21" s="380">
        <f t="shared" si="10"/>
        <v>0</v>
      </c>
    </row>
    <row r="22" spans="1:16" ht="15.75">
      <c r="A22" s="412">
        <v>3</v>
      </c>
      <c r="B22" s="383" t="s">
        <v>27</v>
      </c>
      <c r="C22" s="401">
        <v>61.64</v>
      </c>
      <c r="D22" s="401">
        <v>0</v>
      </c>
      <c r="E22" s="401">
        <v>0</v>
      </c>
      <c r="F22" s="401">
        <v>196.1</v>
      </c>
      <c r="G22" s="401">
        <v>336.9</v>
      </c>
      <c r="H22" s="401">
        <v>370.22</v>
      </c>
      <c r="I22" s="401">
        <v>2400.2199999999998</v>
      </c>
      <c r="J22" s="401">
        <f t="shared" si="11"/>
        <v>58.285109119104348</v>
      </c>
      <c r="K22" s="401">
        <f t="shared" si="12"/>
        <v>0</v>
      </c>
      <c r="L22" s="401">
        <f t="shared" si="13"/>
        <v>0</v>
      </c>
      <c r="M22" s="401">
        <f t="shared" si="14"/>
        <v>147.62342100904863</v>
      </c>
      <c r="N22" s="401">
        <f t="shared" si="8"/>
        <v>233.66300925219511</v>
      </c>
      <c r="O22" s="380">
        <f t="shared" si="9"/>
        <v>239.58737801247705</v>
      </c>
      <c r="P22" s="380">
        <f t="shared" si="10"/>
        <v>1452.8385257461759</v>
      </c>
    </row>
    <row r="23" spans="1:16" ht="15.75">
      <c r="A23" s="412">
        <v>4</v>
      </c>
      <c r="B23" s="383" t="s">
        <v>28</v>
      </c>
      <c r="C23" s="401">
        <v>87.7</v>
      </c>
      <c r="D23" s="401">
        <v>133.23000000000002</v>
      </c>
      <c r="E23" s="401">
        <v>189.17</v>
      </c>
      <c r="F23" s="401">
        <v>-205.30999999999997</v>
      </c>
      <c r="G23" s="401">
        <v>-67.869999999999948</v>
      </c>
      <c r="H23" s="401">
        <v>0</v>
      </c>
      <c r="I23" s="401">
        <v>0</v>
      </c>
      <c r="J23" s="401">
        <f t="shared" si="11"/>
        <v>82.926737017285063</v>
      </c>
      <c r="K23" s="401">
        <f t="shared" si="12"/>
        <v>115.93282283327534</v>
      </c>
      <c r="L23" s="401">
        <f t="shared" si="13"/>
        <v>155.1998556051457</v>
      </c>
      <c r="M23" s="401">
        <f t="shared" si="14"/>
        <v>-154.55667805898915</v>
      </c>
      <c r="N23" s="401">
        <f t="shared" si="8"/>
        <v>-47.07245009779303</v>
      </c>
      <c r="O23" s="380">
        <f t="shared" si="9"/>
        <v>0</v>
      </c>
      <c r="P23" s="380">
        <f t="shared" si="10"/>
        <v>0</v>
      </c>
    </row>
    <row r="24" spans="1:16" ht="15.75">
      <c r="A24" s="412">
        <v>5</v>
      </c>
      <c r="B24" s="383" t="s">
        <v>29</v>
      </c>
      <c r="C24" s="401">
        <v>1000</v>
      </c>
      <c r="D24" s="401">
        <v>1020</v>
      </c>
      <c r="E24" s="401">
        <v>1500</v>
      </c>
      <c r="F24" s="401">
        <v>0</v>
      </c>
      <c r="G24" s="401">
        <v>5742</v>
      </c>
      <c r="H24" s="401">
        <v>9000</v>
      </c>
      <c r="I24" s="401">
        <v>8685</v>
      </c>
      <c r="J24" s="401">
        <f t="shared" si="11"/>
        <v>945.57282801921394</v>
      </c>
      <c r="K24" s="401">
        <f t="shared" si="12"/>
        <v>887.5739644970414</v>
      </c>
      <c r="L24" s="401">
        <f t="shared" si="13"/>
        <v>1230.6379627198739</v>
      </c>
      <c r="M24" s="401">
        <f t="shared" si="14"/>
        <v>0</v>
      </c>
      <c r="N24" s="401">
        <f t="shared" si="8"/>
        <v>3982.4666047079381</v>
      </c>
      <c r="O24" s="380">
        <f t="shared" si="9"/>
        <v>5824.3379669177602</v>
      </c>
      <c r="P24" s="380">
        <f t="shared" si="10"/>
        <v>5256.9775254374763</v>
      </c>
    </row>
    <row r="25" spans="1:16" ht="15.75">
      <c r="A25" s="412">
        <v>6</v>
      </c>
      <c r="B25" s="383" t="s">
        <v>30</v>
      </c>
      <c r="C25" s="401">
        <v>4612.34</v>
      </c>
      <c r="D25" s="401">
        <v>5355.41</v>
      </c>
      <c r="E25" s="401">
        <v>5256.6900000000005</v>
      </c>
      <c r="F25" s="401">
        <v>4679.34</v>
      </c>
      <c r="G25" s="401">
        <v>4959.32</v>
      </c>
      <c r="H25" s="401">
        <v>7388.1</v>
      </c>
      <c r="I25" s="401">
        <v>7513.51</v>
      </c>
      <c r="J25" s="401">
        <f t="shared" si="11"/>
        <v>4361.3033775861413</v>
      </c>
      <c r="K25" s="401">
        <f t="shared" si="12"/>
        <v>4660.1200835363734</v>
      </c>
      <c r="L25" s="401">
        <f t="shared" si="13"/>
        <v>4312.7215148332898</v>
      </c>
      <c r="M25" s="401">
        <f t="shared" si="14"/>
        <v>3522.5914271518695</v>
      </c>
      <c r="N25" s="401">
        <f t="shared" si="8"/>
        <v>3439.6249185057768</v>
      </c>
      <c r="O25" s="380">
        <f t="shared" si="9"/>
        <v>4781.1990370427902</v>
      </c>
      <c r="P25" s="380">
        <f t="shared" si="10"/>
        <v>4547.8817739953638</v>
      </c>
    </row>
    <row r="26" spans="1:16" ht="15.75">
      <c r="A26" s="412">
        <v>7</v>
      </c>
      <c r="B26" s="383" t="s">
        <v>31</v>
      </c>
      <c r="C26" s="401">
        <v>0</v>
      </c>
      <c r="D26" s="401">
        <v>0</v>
      </c>
      <c r="E26" s="401">
        <v>0</v>
      </c>
      <c r="F26" s="401">
        <v>0</v>
      </c>
      <c r="G26" s="401">
        <v>0</v>
      </c>
      <c r="H26" s="401">
        <v>0</v>
      </c>
      <c r="I26" s="401">
        <v>0</v>
      </c>
      <c r="J26" s="401">
        <f t="shared" si="11"/>
        <v>0</v>
      </c>
      <c r="K26" s="401">
        <f t="shared" si="12"/>
        <v>0</v>
      </c>
      <c r="L26" s="401">
        <f t="shared" si="13"/>
        <v>0</v>
      </c>
      <c r="M26" s="401">
        <f t="shared" si="14"/>
        <v>0</v>
      </c>
      <c r="N26" s="401">
        <f t="shared" si="8"/>
        <v>0</v>
      </c>
      <c r="O26" s="380">
        <f t="shared" si="9"/>
        <v>0</v>
      </c>
      <c r="P26" s="380">
        <f t="shared" si="10"/>
        <v>0</v>
      </c>
    </row>
    <row r="27" spans="1:16" ht="15.75">
      <c r="A27" s="412">
        <v>8</v>
      </c>
      <c r="B27" s="383" t="s">
        <v>32</v>
      </c>
      <c r="C27" s="401">
        <v>2484.9647000000004</v>
      </c>
      <c r="D27" s="401">
        <v>4165.5946000000004</v>
      </c>
      <c r="E27" s="401">
        <v>3714.5</v>
      </c>
      <c r="F27" s="401">
        <v>7425.5375333210022</v>
      </c>
      <c r="G27" s="401">
        <v>4255.5</v>
      </c>
      <c r="H27" s="401">
        <v>5842.54</v>
      </c>
      <c r="I27" s="401">
        <v>7000.6900000000005</v>
      </c>
      <c r="J27" s="401">
        <f t="shared" si="11"/>
        <v>2349.7150989069182</v>
      </c>
      <c r="K27" s="401">
        <f t="shared" si="12"/>
        <v>3624.7777584406549</v>
      </c>
      <c r="L27" s="401">
        <f t="shared" si="13"/>
        <v>3047.4698083486483</v>
      </c>
      <c r="M27" s="401">
        <f t="shared" si="14"/>
        <v>5589.9197016825028</v>
      </c>
      <c r="N27" s="401">
        <f t="shared" si="8"/>
        <v>2951.477993092064</v>
      </c>
      <c r="O27" s="380">
        <f t="shared" si="9"/>
        <v>3780.9919494706323</v>
      </c>
      <c r="P27" s="380">
        <f t="shared" si="10"/>
        <v>4237.474955964869</v>
      </c>
    </row>
    <row r="28" spans="1:16" ht="15.75">
      <c r="A28" s="412">
        <v>9</v>
      </c>
      <c r="B28" s="383" t="s">
        <v>33</v>
      </c>
      <c r="C28" s="401">
        <v>543.75</v>
      </c>
      <c r="D28" s="401">
        <v>791.17</v>
      </c>
      <c r="E28" s="401">
        <v>721.26</v>
      </c>
      <c r="F28" s="401">
        <v>630.04</v>
      </c>
      <c r="G28" s="401">
        <v>924</v>
      </c>
      <c r="H28" s="401">
        <v>1100</v>
      </c>
      <c r="I28" s="401">
        <v>1129.7</v>
      </c>
      <c r="J28" s="401">
        <f t="shared" si="11"/>
        <v>514.15522523544757</v>
      </c>
      <c r="K28" s="401">
        <f t="shared" si="12"/>
        <v>688.4528367560041</v>
      </c>
      <c r="L28" s="401">
        <f t="shared" si="13"/>
        <v>591.73995799422426</v>
      </c>
      <c r="M28" s="401">
        <f t="shared" si="14"/>
        <v>474.29199476053537</v>
      </c>
      <c r="N28" s="401">
        <f t="shared" si="8"/>
        <v>640.85669501047278</v>
      </c>
      <c r="O28" s="380">
        <f t="shared" si="9"/>
        <v>711.86352928994847</v>
      </c>
      <c r="P28" s="380">
        <f t="shared" si="10"/>
        <v>683.80051934216658</v>
      </c>
    </row>
    <row r="29" spans="1:16" ht="15.75">
      <c r="A29" s="412">
        <v>10</v>
      </c>
      <c r="B29" s="383" t="s">
        <v>34</v>
      </c>
      <c r="C29" s="401">
        <v>0</v>
      </c>
      <c r="D29" s="401">
        <v>0</v>
      </c>
      <c r="E29" s="401">
        <v>0</v>
      </c>
      <c r="F29" s="401">
        <v>2096.36</v>
      </c>
      <c r="G29" s="401">
        <v>4647</v>
      </c>
      <c r="H29" s="401">
        <v>0</v>
      </c>
      <c r="I29" s="401">
        <v>3338</v>
      </c>
      <c r="J29" s="401">
        <f t="shared" si="11"/>
        <v>0</v>
      </c>
      <c r="K29" s="401">
        <f t="shared" si="12"/>
        <v>0</v>
      </c>
      <c r="L29" s="401">
        <f t="shared" si="13"/>
        <v>0</v>
      </c>
      <c r="M29" s="401">
        <f t="shared" si="14"/>
        <v>1578.1327632153452</v>
      </c>
      <c r="N29" s="401">
        <f t="shared" si="8"/>
        <v>3223.0098070494232</v>
      </c>
      <c r="O29" s="380">
        <f t="shared" si="9"/>
        <v>0</v>
      </c>
      <c r="P29" s="380">
        <f t="shared" si="10"/>
        <v>2020.4710397133326</v>
      </c>
    </row>
    <row r="30" spans="1:16" ht="15.75">
      <c r="A30" s="412">
        <v>11</v>
      </c>
      <c r="B30" s="383" t="s">
        <v>35</v>
      </c>
      <c r="C30" s="401">
        <v>0</v>
      </c>
      <c r="D30" s="401">
        <v>0</v>
      </c>
      <c r="E30" s="401">
        <v>0</v>
      </c>
      <c r="F30" s="401">
        <v>0</v>
      </c>
      <c r="G30" s="401">
        <v>0</v>
      </c>
      <c r="H30" s="401">
        <v>0</v>
      </c>
      <c r="I30" s="401">
        <v>31500</v>
      </c>
      <c r="J30" s="401">
        <f t="shared" si="11"/>
        <v>0</v>
      </c>
      <c r="K30" s="401">
        <f t="shared" si="12"/>
        <v>0</v>
      </c>
      <c r="L30" s="401">
        <f t="shared" si="13"/>
        <v>0</v>
      </c>
      <c r="M30" s="401">
        <f t="shared" si="14"/>
        <v>0</v>
      </c>
      <c r="N30" s="401">
        <f t="shared" si="8"/>
        <v>0</v>
      </c>
      <c r="O30" s="380">
        <f t="shared" si="9"/>
        <v>0</v>
      </c>
      <c r="P30" s="380">
        <f t="shared" si="10"/>
        <v>19066.757864281</v>
      </c>
    </row>
    <row r="31" spans="1:16" ht="15.75">
      <c r="A31" s="412">
        <v>12</v>
      </c>
      <c r="B31" s="383" t="s">
        <v>74</v>
      </c>
      <c r="C31" s="401">
        <v>848.56</v>
      </c>
      <c r="D31" s="401">
        <v>878.74000000000012</v>
      </c>
      <c r="E31" s="401">
        <v>1017.6800000000001</v>
      </c>
      <c r="F31" s="401">
        <v>929.29000000000019</v>
      </c>
      <c r="G31" s="401">
        <v>1551.08</v>
      </c>
      <c r="H31" s="401">
        <v>2000</v>
      </c>
      <c r="I31" s="401">
        <v>2100</v>
      </c>
      <c r="J31" s="401">
        <f t="shared" si="11"/>
        <v>802.3752789439842</v>
      </c>
      <c r="K31" s="401">
        <f t="shared" si="12"/>
        <v>764.65367211973557</v>
      </c>
      <c r="L31" s="401">
        <f t="shared" si="13"/>
        <v>834.93042793384097</v>
      </c>
      <c r="M31" s="401">
        <f t="shared" si="14"/>
        <v>699.56638913563904</v>
      </c>
      <c r="N31" s="401">
        <f t="shared" si="8"/>
        <v>1075.7792234814331</v>
      </c>
      <c r="O31" s="380">
        <f t="shared" si="9"/>
        <v>1294.2973259817245</v>
      </c>
      <c r="P31" s="380">
        <f t="shared" si="10"/>
        <v>1271.1171909520667</v>
      </c>
    </row>
    <row r="32" spans="1:16" ht="15.75">
      <c r="A32" s="412">
        <v>13</v>
      </c>
      <c r="B32" s="383" t="s">
        <v>36</v>
      </c>
      <c r="C32" s="401">
        <v>2165.0599999999995</v>
      </c>
      <c r="D32" s="401">
        <v>3187.2400000000002</v>
      </c>
      <c r="E32" s="401">
        <v>2101.91</v>
      </c>
      <c r="F32" s="401">
        <v>4251.3200000000006</v>
      </c>
      <c r="G32" s="401">
        <v>4716</v>
      </c>
      <c r="H32" s="401">
        <v>5920.95</v>
      </c>
      <c r="I32" s="401">
        <v>6601.01</v>
      </c>
      <c r="J32" s="401">
        <f t="shared" si="11"/>
        <v>2047.221907031279</v>
      </c>
      <c r="K32" s="401">
        <f t="shared" si="12"/>
        <v>2773.4423947093633</v>
      </c>
      <c r="L32" s="401">
        <f t="shared" si="13"/>
        <v>1724.4601601470201</v>
      </c>
      <c r="M32" s="401">
        <f t="shared" si="14"/>
        <v>3200.3794095063167</v>
      </c>
      <c r="N32" s="401">
        <f t="shared" si="8"/>
        <v>3270.8659888196862</v>
      </c>
      <c r="O32" s="380">
        <f t="shared" si="9"/>
        <v>3831.7348761357457</v>
      </c>
      <c r="P32" s="380">
        <f t="shared" si="10"/>
        <v>3995.5510898316679</v>
      </c>
    </row>
    <row r="33" spans="1:16" ht="15.75">
      <c r="A33" s="412">
        <v>14</v>
      </c>
      <c r="B33" s="383" t="s">
        <v>37</v>
      </c>
      <c r="C33" s="401">
        <v>4795.0800000000017</v>
      </c>
      <c r="D33" s="401">
        <v>5021.7899999999991</v>
      </c>
      <c r="E33" s="401">
        <v>6817.1</v>
      </c>
      <c r="F33" s="401">
        <v>8250.42</v>
      </c>
      <c r="G33" s="401">
        <v>8811</v>
      </c>
      <c r="H33" s="401">
        <v>8268.52</v>
      </c>
      <c r="I33" s="401">
        <v>10559.460000000001</v>
      </c>
      <c r="J33" s="401">
        <f t="shared" si="11"/>
        <v>4534.097356178374</v>
      </c>
      <c r="K33" s="401">
        <f t="shared" si="12"/>
        <v>4369.8137835015659</v>
      </c>
      <c r="L33" s="401">
        <f t="shared" si="13"/>
        <v>5592.9213704384356</v>
      </c>
      <c r="M33" s="401">
        <f t="shared" si="14"/>
        <v>6210.8884505939568</v>
      </c>
      <c r="N33" s="401">
        <f t="shared" si="8"/>
        <v>6111.0263417070091</v>
      </c>
      <c r="O33" s="380">
        <f t="shared" si="9"/>
        <v>5350.9616629132051</v>
      </c>
      <c r="P33" s="380">
        <f t="shared" si="10"/>
        <v>6391.5767300812913</v>
      </c>
    </row>
    <row r="34" spans="1:16" ht="15.75">
      <c r="A34" s="412">
        <v>15</v>
      </c>
      <c r="B34" s="383" t="s">
        <v>38</v>
      </c>
      <c r="C34" s="401">
        <v>-1676.25</v>
      </c>
      <c r="D34" s="401">
        <v>-3843.39</v>
      </c>
      <c r="E34" s="401">
        <v>-2343.66</v>
      </c>
      <c r="F34" s="401">
        <v>825.56000000000131</v>
      </c>
      <c r="G34" s="401">
        <v>-8536.34</v>
      </c>
      <c r="H34" s="401">
        <v>677.04999999999927</v>
      </c>
      <c r="I34" s="401">
        <v>539.99000000000069</v>
      </c>
      <c r="J34" s="401">
        <f t="shared" si="11"/>
        <v>-1585.0164529672074</v>
      </c>
      <c r="K34" s="401">
        <f t="shared" si="12"/>
        <v>-3344.4048033414547</v>
      </c>
      <c r="L34" s="401">
        <f t="shared" si="13"/>
        <v>-1922.7979784720399</v>
      </c>
      <c r="M34" s="401">
        <f t="shared" si="14"/>
        <v>621.47879371866588</v>
      </c>
      <c r="N34" s="401">
        <f t="shared" si="8"/>
        <v>-5920.530995547294</v>
      </c>
      <c r="O34" s="380">
        <f t="shared" si="9"/>
        <v>438.15200227796282</v>
      </c>
      <c r="P34" s="380">
        <f t="shared" si="10"/>
        <v>326.85265330581302</v>
      </c>
    </row>
    <row r="35" spans="1:16" ht="15.75">
      <c r="A35" s="412">
        <v>16</v>
      </c>
      <c r="B35" s="383" t="s">
        <v>39</v>
      </c>
      <c r="C35" s="401">
        <v>2351.6</v>
      </c>
      <c r="D35" s="401">
        <v>2190</v>
      </c>
      <c r="E35" s="401">
        <v>4616.46</v>
      </c>
      <c r="F35" s="401">
        <v>6000</v>
      </c>
      <c r="G35" s="401">
        <v>7000</v>
      </c>
      <c r="H35" s="401">
        <v>8000</v>
      </c>
      <c r="I35" s="401">
        <v>9000</v>
      </c>
      <c r="J35" s="401">
        <f t="shared" si="11"/>
        <v>2223.6090623699833</v>
      </c>
      <c r="K35" s="401">
        <f t="shared" si="12"/>
        <v>1905.6735120083536</v>
      </c>
      <c r="L35" s="401">
        <f t="shared" si="13"/>
        <v>3787.4606195851929</v>
      </c>
      <c r="M35" s="401">
        <f t="shared" si="14"/>
        <v>4516.7798370948076</v>
      </c>
      <c r="N35" s="401">
        <f t="shared" si="8"/>
        <v>4854.974962200552</v>
      </c>
      <c r="O35" s="380">
        <f t="shared" si="9"/>
        <v>5177.189303926898</v>
      </c>
      <c r="P35" s="380">
        <f t="shared" si="10"/>
        <v>5447.6451040802858</v>
      </c>
    </row>
    <row r="36" spans="1:16" ht="15.75">
      <c r="A36" s="412">
        <v>17</v>
      </c>
      <c r="B36" s="383" t="s">
        <v>40</v>
      </c>
      <c r="C36" s="401">
        <v>0</v>
      </c>
      <c r="D36" s="401">
        <v>0</v>
      </c>
      <c r="E36" s="401">
        <v>0</v>
      </c>
      <c r="F36" s="401">
        <v>0</v>
      </c>
      <c r="G36" s="401">
        <v>2790.87</v>
      </c>
      <c r="H36" s="401">
        <v>2513.7799999999997</v>
      </c>
      <c r="I36" s="401">
        <v>1856.94</v>
      </c>
      <c r="J36" s="401">
        <f t="shared" si="11"/>
        <v>0</v>
      </c>
      <c r="K36" s="401">
        <f t="shared" si="12"/>
        <v>0</v>
      </c>
      <c r="L36" s="401">
        <f t="shared" si="13"/>
        <v>0</v>
      </c>
      <c r="M36" s="401">
        <f t="shared" si="14"/>
        <v>0</v>
      </c>
      <c r="N36" s="401">
        <f t="shared" si="8"/>
        <v>1935.6577103938075</v>
      </c>
      <c r="O36" s="380">
        <f t="shared" si="9"/>
        <v>1626.7893660531697</v>
      </c>
      <c r="P36" s="380">
        <f t="shared" si="10"/>
        <v>1123.9944555078719</v>
      </c>
    </row>
    <row r="37" spans="1:16" ht="15.75">
      <c r="A37" s="413"/>
      <c r="B37" s="379" t="s">
        <v>311</v>
      </c>
      <c r="C37" s="403">
        <f t="shared" ref="C37:M37" si="15">SUM(C20:C36)</f>
        <v>17274.4447</v>
      </c>
      <c r="D37" s="403">
        <f t="shared" si="15"/>
        <v>18899.784599999999</v>
      </c>
      <c r="E37" s="403">
        <f t="shared" si="15"/>
        <v>23591.11</v>
      </c>
      <c r="F37" s="403">
        <f t="shared" si="15"/>
        <v>35078.657533321006</v>
      </c>
      <c r="G37" s="403">
        <f t="shared" si="15"/>
        <v>37129.46</v>
      </c>
      <c r="H37" s="403">
        <f t="shared" si="15"/>
        <v>51081.16</v>
      </c>
      <c r="I37" s="403">
        <f t="shared" si="15"/>
        <v>92224.52</v>
      </c>
      <c r="J37" s="403">
        <f t="shared" si="15"/>
        <v>16334.245527440522</v>
      </c>
      <c r="K37" s="403">
        <f t="shared" si="15"/>
        <v>16446.036025060912</v>
      </c>
      <c r="L37" s="403">
        <f t="shared" si="15"/>
        <v>19354.743699133636</v>
      </c>
      <c r="M37" s="403">
        <f t="shared" si="15"/>
        <v>26407.0955098097</v>
      </c>
      <c r="N37" s="403">
        <f t="shared" si="8"/>
        <v>25751.79980857527</v>
      </c>
      <c r="O37" s="384">
        <f t="shared" si="9"/>
        <v>33057.104398022318</v>
      </c>
      <c r="P37" s="384">
        <f t="shared" si="10"/>
        <v>55822.939428239384</v>
      </c>
    </row>
    <row r="38" spans="1:16" ht="15.75">
      <c r="A38" s="413"/>
      <c r="B38" s="379" t="s">
        <v>86</v>
      </c>
      <c r="C38" s="403">
        <f t="shared" ref="C38:M38" si="16">C37+C18</f>
        <v>18207.448768069666</v>
      </c>
      <c r="D38" s="403">
        <f t="shared" si="16"/>
        <v>19458.359716465147</v>
      </c>
      <c r="E38" s="403">
        <f t="shared" si="16"/>
        <v>24368.39</v>
      </c>
      <c r="F38" s="403">
        <f t="shared" si="16"/>
        <v>35518.810033321002</v>
      </c>
      <c r="G38" s="403">
        <f t="shared" si="16"/>
        <v>37540.269999999997</v>
      </c>
      <c r="H38" s="403">
        <f t="shared" si="16"/>
        <v>52189.15</v>
      </c>
      <c r="I38" s="403">
        <f t="shared" si="16"/>
        <v>93474.52</v>
      </c>
      <c r="J38" s="403">
        <f t="shared" si="16"/>
        <v>17216.468822638588</v>
      </c>
      <c r="K38" s="403">
        <f t="shared" si="16"/>
        <v>16932.091643286763</v>
      </c>
      <c r="L38" s="403">
        <f t="shared" si="16"/>
        <v>19992.443882908905</v>
      </c>
      <c r="M38" s="403">
        <f t="shared" si="16"/>
        <v>26738.44083268418</v>
      </c>
      <c r="N38" s="403">
        <f t="shared" si="8"/>
        <v>26036.724417749785</v>
      </c>
      <c r="O38" s="384">
        <f t="shared" si="9"/>
        <v>33774.138645129562</v>
      </c>
      <c r="P38" s="384">
        <f t="shared" si="10"/>
        <v>56579.556803806088</v>
      </c>
    </row>
    <row r="39" spans="1:16" ht="15.75">
      <c r="A39" s="411" t="s">
        <v>231</v>
      </c>
      <c r="B39" s="379" t="s">
        <v>244</v>
      </c>
      <c r="C39" s="403"/>
      <c r="D39" s="403"/>
      <c r="E39" s="403"/>
      <c r="F39" s="403"/>
      <c r="G39" s="403"/>
      <c r="H39" s="403"/>
      <c r="I39" s="403"/>
      <c r="J39" s="403"/>
      <c r="K39" s="403"/>
      <c r="L39" s="403"/>
      <c r="M39" s="403"/>
      <c r="N39" s="401">
        <f t="shared" si="8"/>
        <v>0</v>
      </c>
      <c r="O39" s="380">
        <f t="shared" si="9"/>
        <v>0</v>
      </c>
      <c r="P39" s="380">
        <f t="shared" si="10"/>
        <v>0</v>
      </c>
    </row>
    <row r="40" spans="1:16" ht="15.75">
      <c r="A40" s="412">
        <v>1</v>
      </c>
      <c r="B40" s="383" t="s">
        <v>233</v>
      </c>
      <c r="C40" s="401">
        <v>0</v>
      </c>
      <c r="D40" s="401">
        <v>0</v>
      </c>
      <c r="E40" s="401">
        <v>0</v>
      </c>
      <c r="F40" s="401">
        <v>0</v>
      </c>
      <c r="G40" s="401">
        <v>933</v>
      </c>
      <c r="H40" s="401">
        <v>770</v>
      </c>
      <c r="I40" s="401">
        <v>626</v>
      </c>
      <c r="J40" s="401">
        <f t="shared" ref="J40:M41" si="17">+C40/C$46</f>
        <v>0</v>
      </c>
      <c r="K40" s="401">
        <f t="shared" si="17"/>
        <v>0</v>
      </c>
      <c r="L40" s="401">
        <f t="shared" si="17"/>
        <v>0</v>
      </c>
      <c r="M40" s="401">
        <f t="shared" si="17"/>
        <v>0</v>
      </c>
      <c r="N40" s="401">
        <f t="shared" si="8"/>
        <v>647.09880567615926</v>
      </c>
      <c r="O40" s="380">
        <f t="shared" si="9"/>
        <v>498.30447050296397</v>
      </c>
      <c r="P40" s="380">
        <f t="shared" si="10"/>
        <v>378.91398168380658</v>
      </c>
    </row>
    <row r="41" spans="1:16" ht="15.75">
      <c r="A41" s="412">
        <v>2</v>
      </c>
      <c r="B41" s="383" t="s">
        <v>44</v>
      </c>
      <c r="C41" s="401">
        <v>0</v>
      </c>
      <c r="D41" s="401">
        <v>0</v>
      </c>
      <c r="E41" s="401">
        <v>0</v>
      </c>
      <c r="F41" s="401">
        <v>0</v>
      </c>
      <c r="G41" s="401">
        <v>0</v>
      </c>
      <c r="H41" s="401">
        <v>0</v>
      </c>
      <c r="I41" s="401">
        <v>0</v>
      </c>
      <c r="J41" s="401">
        <f t="shared" si="17"/>
        <v>0</v>
      </c>
      <c r="K41" s="401">
        <f t="shared" si="17"/>
        <v>0</v>
      </c>
      <c r="L41" s="401">
        <f t="shared" si="17"/>
        <v>0</v>
      </c>
      <c r="M41" s="401">
        <f t="shared" si="17"/>
        <v>0</v>
      </c>
      <c r="N41" s="401">
        <f t="shared" si="8"/>
        <v>0</v>
      </c>
      <c r="O41" s="380">
        <f t="shared" si="9"/>
        <v>0</v>
      </c>
      <c r="P41" s="380">
        <f t="shared" si="10"/>
        <v>0</v>
      </c>
    </row>
    <row r="42" spans="1:16" ht="15.75">
      <c r="A42" s="444"/>
      <c r="B42" s="386" t="s">
        <v>234</v>
      </c>
      <c r="C42" s="403">
        <f t="shared" ref="C42:M42" si="18">C40+C41</f>
        <v>0</v>
      </c>
      <c r="D42" s="403">
        <f t="shared" si="18"/>
        <v>0</v>
      </c>
      <c r="E42" s="403">
        <f t="shared" si="18"/>
        <v>0</v>
      </c>
      <c r="F42" s="403">
        <f t="shared" si="18"/>
        <v>0</v>
      </c>
      <c r="G42" s="403">
        <f t="shared" si="18"/>
        <v>933</v>
      </c>
      <c r="H42" s="403">
        <f t="shared" si="18"/>
        <v>770</v>
      </c>
      <c r="I42" s="403">
        <f t="shared" si="18"/>
        <v>626</v>
      </c>
      <c r="J42" s="403">
        <f t="shared" si="18"/>
        <v>0</v>
      </c>
      <c r="K42" s="403">
        <f t="shared" si="18"/>
        <v>0</v>
      </c>
      <c r="L42" s="403">
        <f t="shared" si="18"/>
        <v>0</v>
      </c>
      <c r="M42" s="403">
        <f t="shared" si="18"/>
        <v>0</v>
      </c>
      <c r="N42" s="403">
        <f t="shared" si="8"/>
        <v>647.09880567615926</v>
      </c>
      <c r="O42" s="384">
        <f t="shared" si="9"/>
        <v>498.30447050296397</v>
      </c>
      <c r="P42" s="384">
        <f t="shared" si="10"/>
        <v>378.91398168380658</v>
      </c>
    </row>
    <row r="43" spans="1:16" s="300" customFormat="1">
      <c r="A43" s="445"/>
      <c r="B43" s="386" t="s">
        <v>249</v>
      </c>
      <c r="C43" s="403">
        <f t="shared" ref="C43:M43" si="19">C37+C18+C42</f>
        <v>18207.448768069666</v>
      </c>
      <c r="D43" s="403">
        <f t="shared" si="19"/>
        <v>19458.359716465147</v>
      </c>
      <c r="E43" s="403">
        <f t="shared" si="19"/>
        <v>24368.39</v>
      </c>
      <c r="F43" s="403">
        <f t="shared" si="19"/>
        <v>35518.810033321002</v>
      </c>
      <c r="G43" s="403">
        <f t="shared" si="19"/>
        <v>38473.269999999997</v>
      </c>
      <c r="H43" s="403">
        <f t="shared" si="19"/>
        <v>52959.15</v>
      </c>
      <c r="I43" s="403">
        <f t="shared" si="19"/>
        <v>94100.52</v>
      </c>
      <c r="J43" s="403">
        <f t="shared" si="19"/>
        <v>17216.468822638588</v>
      </c>
      <c r="K43" s="403">
        <f t="shared" si="19"/>
        <v>16932.091643286763</v>
      </c>
      <c r="L43" s="403">
        <f t="shared" si="19"/>
        <v>19992.443882908905</v>
      </c>
      <c r="M43" s="403">
        <f t="shared" si="19"/>
        <v>26738.44083268418</v>
      </c>
      <c r="N43" s="403">
        <f t="shared" si="8"/>
        <v>26683.823223425945</v>
      </c>
      <c r="O43" s="384">
        <f t="shared" si="9"/>
        <v>34272.443115632523</v>
      </c>
      <c r="P43" s="384">
        <f t="shared" si="10"/>
        <v>56958.470785489895</v>
      </c>
    </row>
    <row r="44" spans="1:16">
      <c r="A44" s="296"/>
      <c r="B44" s="545" t="s">
        <v>258</v>
      </c>
      <c r="C44" s="545"/>
      <c r="D44" s="545"/>
      <c r="E44" s="545"/>
      <c r="F44" s="545"/>
      <c r="G44" s="545"/>
      <c r="H44" s="545"/>
      <c r="I44" s="545"/>
      <c r="J44" s="545"/>
      <c r="K44" s="545"/>
      <c r="L44" s="545"/>
    </row>
    <row r="45" spans="1:16" ht="15.75">
      <c r="C45" s="297" t="s">
        <v>48</v>
      </c>
      <c r="D45" s="297" t="s">
        <v>49</v>
      </c>
      <c r="E45" s="297" t="s">
        <v>5</v>
      </c>
      <c r="F45" s="297" t="s">
        <v>6</v>
      </c>
      <c r="G45" s="298" t="s">
        <v>7</v>
      </c>
      <c r="H45" s="299" t="s">
        <v>122</v>
      </c>
      <c r="I45" s="299" t="s">
        <v>139</v>
      </c>
      <c r="J45" s="418"/>
      <c r="K45" s="418"/>
      <c r="L45" s="418"/>
      <c r="M45" s="418"/>
      <c r="N45" s="418"/>
      <c r="O45" s="418"/>
    </row>
    <row r="46" spans="1:16">
      <c r="B46" s="300" t="s">
        <v>216</v>
      </c>
      <c r="C46" s="301">
        <v>1.0575600000000001</v>
      </c>
      <c r="D46" s="301">
        <v>1.1492</v>
      </c>
      <c r="E46" s="301">
        <v>1.21888</v>
      </c>
      <c r="F46" s="301">
        <v>1.3283799999999999</v>
      </c>
      <c r="G46" s="301">
        <v>1.4418200000000001</v>
      </c>
      <c r="H46" s="302">
        <v>1.5452399999999999</v>
      </c>
      <c r="I46" s="302">
        <v>1.6520900000000001</v>
      </c>
    </row>
  </sheetData>
  <mergeCells count="7">
    <mergeCell ref="B44:L44"/>
    <mergeCell ref="A1:P1"/>
    <mergeCell ref="O2:P2"/>
    <mergeCell ref="A3:A5"/>
    <mergeCell ref="B3:B5"/>
    <mergeCell ref="C3:I3"/>
    <mergeCell ref="J3:P3"/>
  </mergeCells>
  <phoneticPr fontId="42" type="noConversion"/>
  <printOptions horizontalCentered="1"/>
  <pageMargins left="0.23622047244094491" right="0.27559055118110237" top="0.78740157480314965" bottom="0.39370078740157483" header="0" footer="0"/>
  <pageSetup scale="65" orientation="landscape" horizontalDpi="4294967295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57"/>
  </sheetPr>
  <dimension ref="A1:K40"/>
  <sheetViews>
    <sheetView workbookViewId="0">
      <pane xSplit="2" ySplit="5" topLeftCell="C6" activePane="bottomRight" state="frozen"/>
      <selection activeCell="J5" sqref="J5:P5"/>
      <selection pane="topRight" activeCell="J5" sqref="J5:P5"/>
      <selection pane="bottomLeft" activeCell="J5" sqref="J5:P5"/>
      <selection pane="bottomRight" activeCell="L8" sqref="L8"/>
    </sheetView>
  </sheetViews>
  <sheetFormatPr defaultRowHeight="12.75"/>
  <cols>
    <col min="1" max="1" width="4.42578125" style="446" customWidth="1"/>
    <col min="2" max="2" width="35.7109375" style="450" customWidth="1"/>
    <col min="3" max="10" width="14.7109375" style="450" customWidth="1"/>
    <col min="11" max="16384" width="9.140625" style="450"/>
  </cols>
  <sheetData>
    <row r="1" spans="1:11">
      <c r="B1" s="447"/>
      <c r="C1" s="448"/>
      <c r="D1" s="449"/>
      <c r="F1" s="451"/>
      <c r="G1" s="448"/>
      <c r="H1" s="448"/>
      <c r="I1" s="448"/>
      <c r="J1" s="448"/>
    </row>
    <row r="2" spans="1:11" ht="18">
      <c r="A2" s="570" t="s">
        <v>279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</row>
    <row r="3" spans="1:11" ht="18.75" thickBot="1">
      <c r="A3" s="452"/>
      <c r="B3" s="453">
        <v>41834</v>
      </c>
      <c r="C3" s="452"/>
      <c r="D3" s="452"/>
      <c r="E3" s="452"/>
      <c r="F3" s="452"/>
      <c r="G3" s="452"/>
      <c r="H3" s="452"/>
      <c r="I3" s="452"/>
      <c r="J3" s="451" t="s">
        <v>280</v>
      </c>
      <c r="K3" s="452"/>
    </row>
    <row r="4" spans="1:11" s="455" customFormat="1" ht="14.25" customHeight="1">
      <c r="A4" s="571" t="s">
        <v>71</v>
      </c>
      <c r="B4" s="573" t="s">
        <v>281</v>
      </c>
      <c r="C4" s="575" t="s">
        <v>48</v>
      </c>
      <c r="D4" s="577" t="s">
        <v>49</v>
      </c>
      <c r="E4" s="577" t="s">
        <v>5</v>
      </c>
      <c r="F4" s="577" t="s">
        <v>6</v>
      </c>
      <c r="G4" s="573" t="s">
        <v>132</v>
      </c>
      <c r="H4" s="573" t="s">
        <v>122</v>
      </c>
      <c r="I4" s="573" t="s">
        <v>282</v>
      </c>
      <c r="J4" s="573" t="s">
        <v>283</v>
      </c>
      <c r="K4" s="454"/>
    </row>
    <row r="5" spans="1:11" s="457" customFormat="1" ht="21.75" customHeight="1">
      <c r="A5" s="572"/>
      <c r="B5" s="574"/>
      <c r="C5" s="576"/>
      <c r="D5" s="578"/>
      <c r="E5" s="578"/>
      <c r="F5" s="578"/>
      <c r="G5" s="574"/>
      <c r="H5" s="574"/>
      <c r="I5" s="574"/>
      <c r="J5" s="574"/>
      <c r="K5" s="456"/>
    </row>
    <row r="6" spans="1:11" s="461" customFormat="1" ht="21" customHeight="1">
      <c r="A6" s="458">
        <v>1</v>
      </c>
      <c r="B6" s="459" t="s">
        <v>284</v>
      </c>
      <c r="C6" s="460">
        <v>151800</v>
      </c>
      <c r="D6" s="460">
        <v>160179</v>
      </c>
      <c r="E6" s="460">
        <v>164832</v>
      </c>
      <c r="F6" s="460">
        <v>219303</v>
      </c>
      <c r="G6" s="460">
        <v>250522</v>
      </c>
      <c r="H6" s="460">
        <v>291547</v>
      </c>
      <c r="I6" s="460">
        <v>318230</v>
      </c>
      <c r="J6" s="460">
        <v>382216</v>
      </c>
      <c r="K6" s="580" t="s">
        <v>285</v>
      </c>
    </row>
    <row r="7" spans="1:11" s="461" customFormat="1" ht="15">
      <c r="A7" s="458"/>
      <c r="B7" s="459"/>
      <c r="C7" s="460"/>
      <c r="D7" s="460"/>
      <c r="E7" s="460"/>
      <c r="F7" s="460"/>
      <c r="G7" s="462"/>
      <c r="H7" s="462"/>
      <c r="I7" s="462"/>
      <c r="J7" s="462"/>
      <c r="K7" s="581"/>
    </row>
    <row r="8" spans="1:11" s="461" customFormat="1" ht="15">
      <c r="A8" s="458">
        <v>2</v>
      </c>
      <c r="B8" s="459" t="s">
        <v>286</v>
      </c>
      <c r="C8" s="460">
        <f t="shared" ref="C8:J8" si="0">+C9+C10</f>
        <v>35855</v>
      </c>
      <c r="D8" s="460">
        <f t="shared" si="0"/>
        <v>38247</v>
      </c>
      <c r="E8" s="460">
        <f t="shared" si="0"/>
        <v>46029</v>
      </c>
      <c r="F8" s="460">
        <f t="shared" si="0"/>
        <v>49875</v>
      </c>
      <c r="G8" s="460">
        <f t="shared" si="0"/>
        <v>51595</v>
      </c>
      <c r="H8" s="460">
        <f t="shared" si="0"/>
        <v>51402</v>
      </c>
      <c r="I8" s="460">
        <f t="shared" si="0"/>
        <v>61700</v>
      </c>
      <c r="J8" s="460">
        <f t="shared" si="0"/>
        <v>70019</v>
      </c>
      <c r="K8" s="581"/>
    </row>
    <row r="9" spans="1:11" s="467" customFormat="1" ht="15">
      <c r="A9" s="463"/>
      <c r="B9" s="464" t="s">
        <v>287</v>
      </c>
      <c r="C9" s="465">
        <v>35769</v>
      </c>
      <c r="D9" s="465">
        <v>38161</v>
      </c>
      <c r="E9" s="465">
        <v>45946</v>
      </c>
      <c r="F9" s="465">
        <v>49790</v>
      </c>
      <c r="G9" s="466">
        <v>51523</v>
      </c>
      <c r="H9" s="466">
        <v>47996</v>
      </c>
      <c r="I9" s="466">
        <v>61617</v>
      </c>
      <c r="J9" s="466">
        <v>69936</v>
      </c>
      <c r="K9" s="581"/>
    </row>
    <row r="10" spans="1:11" s="467" customFormat="1" ht="15">
      <c r="A10" s="463"/>
      <c r="B10" s="464" t="s">
        <v>288</v>
      </c>
      <c r="C10" s="465">
        <v>86</v>
      </c>
      <c r="D10" s="465">
        <v>86</v>
      </c>
      <c r="E10" s="465">
        <v>83</v>
      </c>
      <c r="F10" s="465">
        <v>85</v>
      </c>
      <c r="G10" s="466">
        <v>72</v>
      </c>
      <c r="H10" s="466">
        <v>3406</v>
      </c>
      <c r="I10" s="466">
        <v>83</v>
      </c>
      <c r="J10" s="466">
        <v>83</v>
      </c>
      <c r="K10" s="581"/>
    </row>
    <row r="11" spans="1:11" s="467" customFormat="1" ht="15">
      <c r="A11" s="463"/>
      <c r="B11" s="464"/>
      <c r="C11" s="465"/>
      <c r="D11" s="465"/>
      <c r="E11" s="465"/>
      <c r="F11" s="465"/>
      <c r="G11" s="466"/>
      <c r="H11" s="466"/>
      <c r="I11" s="466"/>
      <c r="J11" s="466"/>
      <c r="K11" s="581"/>
    </row>
    <row r="12" spans="1:11" s="461" customFormat="1" ht="30" customHeight="1">
      <c r="A12" s="458">
        <v>3</v>
      </c>
      <c r="B12" s="459" t="s">
        <v>289</v>
      </c>
      <c r="C12" s="460">
        <v>56364</v>
      </c>
      <c r="D12" s="460">
        <v>69063</v>
      </c>
      <c r="E12" s="460">
        <f t="shared" ref="E12:J12" si="1">+E13+E14</f>
        <v>80367</v>
      </c>
      <c r="F12" s="460">
        <f t="shared" si="1"/>
        <v>89403</v>
      </c>
      <c r="G12" s="460">
        <f t="shared" si="1"/>
        <v>96266</v>
      </c>
      <c r="H12" s="460">
        <f t="shared" si="1"/>
        <v>101825</v>
      </c>
      <c r="I12" s="460">
        <f t="shared" si="1"/>
        <v>111313</v>
      </c>
      <c r="J12" s="460">
        <f t="shared" si="1"/>
        <v>329712</v>
      </c>
      <c r="K12" s="581"/>
    </row>
    <row r="13" spans="1:11" s="467" customFormat="1" ht="15">
      <c r="A13" s="463"/>
      <c r="B13" s="464" t="s">
        <v>290</v>
      </c>
      <c r="C13" s="465">
        <v>49943</v>
      </c>
      <c r="D13" s="465">
        <v>62034</v>
      </c>
      <c r="E13" s="465">
        <v>72543</v>
      </c>
      <c r="F13" s="465">
        <v>79189</v>
      </c>
      <c r="G13" s="466">
        <v>86271</v>
      </c>
      <c r="H13" s="466">
        <v>91172</v>
      </c>
      <c r="I13" s="466">
        <v>100313</v>
      </c>
      <c r="J13" s="466">
        <v>317712</v>
      </c>
      <c r="K13" s="581"/>
    </row>
    <row r="14" spans="1:11" s="467" customFormat="1" ht="15">
      <c r="A14" s="463"/>
      <c r="B14" s="464" t="s">
        <v>291</v>
      </c>
      <c r="C14" s="465">
        <v>6421</v>
      </c>
      <c r="D14" s="465">
        <v>7029</v>
      </c>
      <c r="E14" s="465">
        <v>7824</v>
      </c>
      <c r="F14" s="465">
        <v>10214</v>
      </c>
      <c r="G14" s="466">
        <v>9995</v>
      </c>
      <c r="H14" s="466">
        <v>10653</v>
      </c>
      <c r="I14" s="466">
        <v>11000</v>
      </c>
      <c r="J14" s="466">
        <v>12000</v>
      </c>
      <c r="K14" s="581"/>
    </row>
    <row r="15" spans="1:11" ht="15">
      <c r="A15" s="468"/>
      <c r="B15" s="469" t="s">
        <v>292</v>
      </c>
      <c r="C15" s="470"/>
      <c r="D15" s="470"/>
      <c r="E15" s="470"/>
      <c r="F15" s="470"/>
      <c r="G15" s="471"/>
      <c r="H15" s="471"/>
      <c r="I15" s="471"/>
      <c r="J15" s="471"/>
      <c r="K15" s="472"/>
    </row>
    <row r="16" spans="1:11" ht="23.25" customHeight="1">
      <c r="A16" s="564" t="s">
        <v>293</v>
      </c>
      <c r="B16" s="473" t="s">
        <v>294</v>
      </c>
      <c r="C16" s="474">
        <v>14462.01</v>
      </c>
      <c r="D16" s="474">
        <v>15948.17</v>
      </c>
      <c r="E16" s="474">
        <v>17442.05</v>
      </c>
      <c r="F16" s="474">
        <v>20007.669999999998</v>
      </c>
      <c r="G16" s="474">
        <v>20920.68</v>
      </c>
      <c r="H16" s="474">
        <v>24062.73</v>
      </c>
      <c r="I16" s="474">
        <v>27236</v>
      </c>
      <c r="J16" s="474">
        <v>28514</v>
      </c>
      <c r="K16" s="565" t="s">
        <v>295</v>
      </c>
    </row>
    <row r="17" spans="1:11" ht="15">
      <c r="A17" s="564"/>
      <c r="B17" s="473" t="s">
        <v>296</v>
      </c>
      <c r="C17" s="474">
        <v>2637</v>
      </c>
      <c r="D17" s="474">
        <v>4705.1400000000003</v>
      </c>
      <c r="E17" s="474">
        <v>9219.73</v>
      </c>
      <c r="F17" s="474">
        <v>7085.52</v>
      </c>
      <c r="G17" s="474">
        <v>5758.84</v>
      </c>
      <c r="H17" s="474">
        <v>5523.3</v>
      </c>
      <c r="I17" s="474">
        <v>6341</v>
      </c>
      <c r="J17" s="474">
        <v>6837</v>
      </c>
      <c r="K17" s="566"/>
    </row>
    <row r="18" spans="1:11" ht="21" customHeight="1">
      <c r="A18" s="564"/>
      <c r="B18" s="473" t="s">
        <v>297</v>
      </c>
      <c r="C18" s="474">
        <v>0</v>
      </c>
      <c r="D18" s="474">
        <v>0</v>
      </c>
      <c r="E18" s="474">
        <v>0</v>
      </c>
      <c r="F18" s="474">
        <v>3917</v>
      </c>
      <c r="G18" s="474">
        <v>8370</v>
      </c>
      <c r="H18" s="474">
        <v>10950</v>
      </c>
      <c r="I18" s="474">
        <v>9571</v>
      </c>
      <c r="J18" s="474">
        <v>11000</v>
      </c>
      <c r="K18" s="566"/>
    </row>
    <row r="19" spans="1:11" ht="20.25" customHeight="1">
      <c r="A19" s="564"/>
      <c r="B19" s="473" t="s">
        <v>298</v>
      </c>
      <c r="C19" s="474">
        <v>0</v>
      </c>
      <c r="D19" s="474">
        <v>1443.4</v>
      </c>
      <c r="E19" s="474">
        <v>4157.74</v>
      </c>
      <c r="F19" s="474">
        <v>1664.34</v>
      </c>
      <c r="G19" s="474">
        <v>1877.2</v>
      </c>
      <c r="H19" s="474">
        <v>2146.12</v>
      </c>
      <c r="I19" s="474">
        <v>1420.31</v>
      </c>
      <c r="J19" s="474">
        <v>1261</v>
      </c>
      <c r="K19" s="566"/>
    </row>
    <row r="20" spans="1:11" ht="15">
      <c r="A20" s="564"/>
      <c r="B20" s="473" t="s">
        <v>299</v>
      </c>
      <c r="C20" s="474">
        <f>47127.04-C16-C17-C18-C19</f>
        <v>30028.03</v>
      </c>
      <c r="D20" s="474">
        <f>73611.24-D16-D17-D18-D19</f>
        <v>51514.530000000006</v>
      </c>
      <c r="E20" s="474">
        <f>79157.2-E16-E17-E18-E19</f>
        <v>48337.68</v>
      </c>
      <c r="F20" s="474">
        <f>89747.68-F16-F17-F18-F19</f>
        <v>57073.149999999994</v>
      </c>
      <c r="G20" s="474">
        <f>100128.79-G16-G17-G18-G19</f>
        <v>63202.069999999992</v>
      </c>
      <c r="H20" s="474">
        <f>+H12-SUM(H16:H19)</f>
        <v>59142.85</v>
      </c>
      <c r="I20" s="474">
        <f>+I12-SUM(I16:I19)</f>
        <v>66744.69</v>
      </c>
      <c r="J20" s="474">
        <f>+J12-SUM(J16:J19)</f>
        <v>282100</v>
      </c>
      <c r="K20" s="566"/>
    </row>
    <row r="21" spans="1:11" ht="15">
      <c r="A21" s="475"/>
      <c r="B21" s="476"/>
      <c r="C21" s="477"/>
      <c r="D21" s="477"/>
      <c r="E21" s="478"/>
      <c r="F21" s="478"/>
      <c r="G21" s="479"/>
      <c r="H21" s="480"/>
      <c r="I21" s="480"/>
      <c r="J21" s="480"/>
      <c r="K21" s="481"/>
    </row>
    <row r="22" spans="1:11" s="461" customFormat="1" ht="25.5">
      <c r="A22" s="458">
        <v>4</v>
      </c>
      <c r="B22" s="459" t="s">
        <v>300</v>
      </c>
      <c r="C22" s="460">
        <v>22863</v>
      </c>
      <c r="D22" s="482">
        <v>23967</v>
      </c>
      <c r="E22" s="460">
        <f t="shared" ref="E22:J22" si="2">+E23+E24</f>
        <v>24475</v>
      </c>
      <c r="F22" s="460">
        <f t="shared" si="2"/>
        <v>30606</v>
      </c>
      <c r="G22" s="460">
        <f t="shared" si="2"/>
        <v>40027</v>
      </c>
      <c r="H22" s="460">
        <f t="shared" si="2"/>
        <v>41289</v>
      </c>
      <c r="I22" s="460">
        <f t="shared" si="2"/>
        <v>39836</v>
      </c>
      <c r="J22" s="460">
        <f t="shared" si="2"/>
        <v>5851</v>
      </c>
      <c r="K22" s="567" t="s">
        <v>285</v>
      </c>
    </row>
    <row r="23" spans="1:11" s="467" customFormat="1" ht="15">
      <c r="A23" s="463"/>
      <c r="B23" s="464" t="s">
        <v>290</v>
      </c>
      <c r="C23" s="465">
        <v>22664</v>
      </c>
      <c r="D23" s="483">
        <v>23967</v>
      </c>
      <c r="E23" s="465">
        <v>24475</v>
      </c>
      <c r="F23" s="465">
        <v>30606</v>
      </c>
      <c r="G23" s="465">
        <v>40027</v>
      </c>
      <c r="H23" s="465">
        <v>41289</v>
      </c>
      <c r="I23" s="465">
        <v>39836</v>
      </c>
      <c r="J23" s="465">
        <v>5851</v>
      </c>
      <c r="K23" s="568"/>
    </row>
    <row r="24" spans="1:11" s="467" customFormat="1" ht="15">
      <c r="A24" s="463"/>
      <c r="B24" s="464" t="s">
        <v>291</v>
      </c>
      <c r="C24" s="465">
        <v>199</v>
      </c>
      <c r="D24" s="483">
        <v>0</v>
      </c>
      <c r="E24" s="465">
        <v>0</v>
      </c>
      <c r="F24" s="465">
        <v>0</v>
      </c>
      <c r="G24" s="465">
        <v>0</v>
      </c>
      <c r="H24" s="465">
        <v>0</v>
      </c>
      <c r="I24" s="465">
        <v>0</v>
      </c>
      <c r="J24" s="465">
        <v>0</v>
      </c>
      <c r="K24" s="568"/>
    </row>
    <row r="25" spans="1:11" s="467" customFormat="1" ht="15">
      <c r="A25" s="463"/>
      <c r="B25" s="464"/>
      <c r="C25" s="465"/>
      <c r="D25" s="483"/>
      <c r="E25" s="465"/>
      <c r="F25" s="465"/>
      <c r="G25" s="465"/>
      <c r="H25" s="465"/>
      <c r="I25" s="465"/>
      <c r="J25" s="465"/>
      <c r="K25" s="568"/>
    </row>
    <row r="26" spans="1:11" s="461" customFormat="1" ht="16.5" customHeight="1">
      <c r="A26" s="458">
        <v>5</v>
      </c>
      <c r="B26" s="459" t="s">
        <v>301</v>
      </c>
      <c r="C26" s="460">
        <f>C8+C12+C22</f>
        <v>115082</v>
      </c>
      <c r="D26" s="482">
        <f>D8+D12+D22</f>
        <v>131277</v>
      </c>
      <c r="E26" s="460">
        <f t="shared" ref="E26:J26" si="3">+E27+E28</f>
        <v>150871</v>
      </c>
      <c r="F26" s="460">
        <f t="shared" si="3"/>
        <v>169884</v>
      </c>
      <c r="G26" s="460">
        <f t="shared" si="3"/>
        <v>187888</v>
      </c>
      <c r="H26" s="460">
        <f t="shared" si="3"/>
        <v>194516</v>
      </c>
      <c r="I26" s="460">
        <f t="shared" si="3"/>
        <v>212849</v>
      </c>
      <c r="J26" s="460">
        <f t="shared" si="3"/>
        <v>405582</v>
      </c>
      <c r="K26" s="568"/>
    </row>
    <row r="27" spans="1:11" s="467" customFormat="1" ht="15">
      <c r="A27" s="463"/>
      <c r="B27" s="464" t="s">
        <v>290</v>
      </c>
      <c r="C27" s="465">
        <v>108377</v>
      </c>
      <c r="D27" s="483">
        <v>124159</v>
      </c>
      <c r="E27" s="465">
        <f t="shared" ref="E27:J28" si="4">+E9+E13+E23</f>
        <v>142964</v>
      </c>
      <c r="F27" s="465">
        <f t="shared" si="4"/>
        <v>159585</v>
      </c>
      <c r="G27" s="465">
        <f t="shared" si="4"/>
        <v>177821</v>
      </c>
      <c r="H27" s="465">
        <f t="shared" si="4"/>
        <v>180457</v>
      </c>
      <c r="I27" s="465">
        <f t="shared" si="4"/>
        <v>201766</v>
      </c>
      <c r="J27" s="465">
        <f t="shared" si="4"/>
        <v>393499</v>
      </c>
      <c r="K27" s="568"/>
    </row>
    <row r="28" spans="1:11" s="467" customFormat="1" ht="15">
      <c r="A28" s="463"/>
      <c r="B28" s="464" t="s">
        <v>291</v>
      </c>
      <c r="C28" s="465">
        <v>6706</v>
      </c>
      <c r="D28" s="483">
        <v>7115</v>
      </c>
      <c r="E28" s="465">
        <f t="shared" si="4"/>
        <v>7907</v>
      </c>
      <c r="F28" s="465">
        <f t="shared" si="4"/>
        <v>10299</v>
      </c>
      <c r="G28" s="465">
        <f t="shared" si="4"/>
        <v>10067</v>
      </c>
      <c r="H28" s="465">
        <f t="shared" si="4"/>
        <v>14059</v>
      </c>
      <c r="I28" s="465">
        <f t="shared" si="4"/>
        <v>11083</v>
      </c>
      <c r="J28" s="465">
        <f t="shared" si="4"/>
        <v>12083</v>
      </c>
      <c r="K28" s="568"/>
    </row>
    <row r="29" spans="1:11" s="467" customFormat="1" ht="15">
      <c r="A29" s="463"/>
      <c r="B29" s="464"/>
      <c r="C29" s="465"/>
      <c r="D29" s="483"/>
      <c r="E29" s="465"/>
      <c r="F29" s="465"/>
      <c r="G29" s="465"/>
      <c r="H29" s="465"/>
      <c r="I29" s="465"/>
      <c r="J29" s="465"/>
      <c r="K29" s="568"/>
    </row>
    <row r="30" spans="1:11" s="461" customFormat="1" ht="22.5" customHeight="1">
      <c r="A30" s="458">
        <v>6</v>
      </c>
      <c r="B30" s="459" t="s">
        <v>302</v>
      </c>
      <c r="C30" s="460">
        <v>3478</v>
      </c>
      <c r="D30" s="482">
        <v>2708</v>
      </c>
      <c r="E30" s="460">
        <v>5314</v>
      </c>
      <c r="F30" s="460">
        <v>8227</v>
      </c>
      <c r="G30" s="460">
        <v>10754</v>
      </c>
      <c r="H30" s="460">
        <v>9511</v>
      </c>
      <c r="I30" s="460">
        <v>8586</v>
      </c>
      <c r="J30" s="460">
        <v>8832</v>
      </c>
      <c r="K30" s="568"/>
    </row>
    <row r="31" spans="1:11" s="461" customFormat="1" ht="15">
      <c r="A31" s="458"/>
      <c r="B31" s="459"/>
      <c r="C31" s="460"/>
      <c r="D31" s="482"/>
      <c r="E31" s="460"/>
      <c r="F31" s="460"/>
      <c r="G31" s="460"/>
      <c r="H31" s="460"/>
      <c r="I31" s="460"/>
      <c r="J31" s="460"/>
      <c r="K31" s="568"/>
    </row>
    <row r="32" spans="1:11" s="461" customFormat="1" ht="25.5">
      <c r="A32" s="458">
        <v>7</v>
      </c>
      <c r="B32" s="459" t="s">
        <v>303</v>
      </c>
      <c r="C32" s="460">
        <v>263405</v>
      </c>
      <c r="D32" s="482">
        <v>288745</v>
      </c>
      <c r="E32" s="460">
        <f t="shared" ref="E32:J32" si="5">+E6+E26-E30</f>
        <v>310389</v>
      </c>
      <c r="F32" s="460">
        <f t="shared" si="5"/>
        <v>380960</v>
      </c>
      <c r="G32" s="460">
        <f t="shared" si="5"/>
        <v>427656</v>
      </c>
      <c r="H32" s="460">
        <f t="shared" si="5"/>
        <v>476552</v>
      </c>
      <c r="I32" s="460">
        <f t="shared" si="5"/>
        <v>522493</v>
      </c>
      <c r="J32" s="460">
        <f t="shared" si="5"/>
        <v>778966</v>
      </c>
      <c r="K32" s="568"/>
    </row>
    <row r="33" spans="1:11" s="461" customFormat="1" ht="15">
      <c r="A33" s="458"/>
      <c r="B33" s="459"/>
      <c r="C33" s="460"/>
      <c r="D33" s="482"/>
      <c r="E33" s="460"/>
      <c r="F33" s="460"/>
      <c r="G33" s="460"/>
      <c r="H33" s="460"/>
      <c r="I33" s="460"/>
      <c r="J33" s="460"/>
      <c r="K33" s="568"/>
    </row>
    <row r="34" spans="1:11" s="461" customFormat="1" ht="15">
      <c r="A34" s="458">
        <v>8</v>
      </c>
      <c r="B34" s="459" t="s">
        <v>304</v>
      </c>
      <c r="C34" s="460">
        <f>51260+1754</f>
        <v>53014</v>
      </c>
      <c r="D34" s="482">
        <v>83224</v>
      </c>
      <c r="E34" s="460">
        <f>90521+1532</f>
        <v>92053</v>
      </c>
      <c r="F34" s="460">
        <f>118740+1533</f>
        <v>120273</v>
      </c>
      <c r="G34" s="460">
        <f>109173+2508</f>
        <v>111681</v>
      </c>
      <c r="H34" s="460">
        <f>3722+104971</f>
        <v>108693</v>
      </c>
      <c r="I34" s="460">
        <f>3955+107015</f>
        <v>110970</v>
      </c>
      <c r="J34" s="460">
        <v>3950</v>
      </c>
      <c r="K34" s="569"/>
    </row>
    <row r="35" spans="1:11" ht="15">
      <c r="A35" s="484"/>
      <c r="B35" s="485"/>
      <c r="C35" s="486"/>
      <c r="D35" s="486"/>
      <c r="E35" s="486"/>
      <c r="F35" s="486"/>
      <c r="G35" s="486"/>
      <c r="H35" s="486"/>
      <c r="I35" s="486"/>
      <c r="J35" s="486"/>
      <c r="K35" s="481"/>
    </row>
    <row r="36" spans="1:11" s="461" customFormat="1" ht="15">
      <c r="A36" s="487">
        <v>9</v>
      </c>
      <c r="B36" s="488" t="s">
        <v>305</v>
      </c>
      <c r="C36" s="489">
        <f t="shared" ref="C36:J36" si="6">+C6+C8+C12+C22+C34</f>
        <v>319896</v>
      </c>
      <c r="D36" s="489">
        <f t="shared" si="6"/>
        <v>374680</v>
      </c>
      <c r="E36" s="489">
        <f t="shared" si="6"/>
        <v>407756</v>
      </c>
      <c r="F36" s="489">
        <f t="shared" si="6"/>
        <v>509460</v>
      </c>
      <c r="G36" s="489">
        <f t="shared" si="6"/>
        <v>550091</v>
      </c>
      <c r="H36" s="489">
        <f t="shared" si="6"/>
        <v>594756</v>
      </c>
      <c r="I36" s="489">
        <f t="shared" si="6"/>
        <v>642049</v>
      </c>
      <c r="J36" s="489">
        <f t="shared" si="6"/>
        <v>791748</v>
      </c>
      <c r="K36" s="490"/>
    </row>
    <row r="37" spans="1:11" ht="13.5" thickBot="1">
      <c r="A37" s="491"/>
      <c r="B37" s="492" t="s">
        <v>306</v>
      </c>
      <c r="C37" s="493"/>
      <c r="D37" s="493"/>
      <c r="E37" s="493"/>
      <c r="F37" s="493"/>
      <c r="G37" s="493"/>
      <c r="H37" s="493"/>
      <c r="I37" s="493"/>
      <c r="J37" s="493"/>
      <c r="K37" s="494"/>
    </row>
    <row r="38" spans="1:11">
      <c r="B38" s="450" t="s">
        <v>307</v>
      </c>
    </row>
    <row r="39" spans="1:11">
      <c r="B39" s="450" t="s">
        <v>308</v>
      </c>
    </row>
    <row r="40" spans="1:11" ht="30" customHeight="1">
      <c r="B40" s="579" t="s">
        <v>309</v>
      </c>
      <c r="C40" s="579"/>
      <c r="D40" s="579"/>
      <c r="E40" s="579"/>
      <c r="F40" s="579"/>
      <c r="G40" s="579"/>
      <c r="H40" s="579"/>
      <c r="I40" s="579"/>
      <c r="J40" s="579"/>
      <c r="K40" s="579"/>
    </row>
  </sheetData>
  <mergeCells count="16">
    <mergeCell ref="B40:K40"/>
    <mergeCell ref="K6:K14"/>
    <mergeCell ref="G4:G5"/>
    <mergeCell ref="H4:H5"/>
    <mergeCell ref="I4:I5"/>
    <mergeCell ref="J4:J5"/>
    <mergeCell ref="A16:A20"/>
    <mergeCell ref="K16:K20"/>
    <mergeCell ref="K22:K34"/>
    <mergeCell ref="A2:K2"/>
    <mergeCell ref="A4:A5"/>
    <mergeCell ref="B4:B5"/>
    <mergeCell ref="C4:C5"/>
    <mergeCell ref="D4:D5"/>
    <mergeCell ref="E4:E5"/>
    <mergeCell ref="F4:F5"/>
  </mergeCells>
  <phoneticPr fontId="42" type="noConversion"/>
  <printOptions horizontalCentered="1"/>
  <pageMargins left="0.11811023622047245" right="0" top="0.35433070866141736" bottom="0.15748031496062992" header="0" footer="0"/>
  <pageSetup scale="90" orientation="landscape" horizontalDpi="4294967295" verticalDpi="0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W4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RowHeight="12.75"/>
  <cols>
    <col min="1" max="1" width="5.42578125" style="93" customWidth="1"/>
    <col min="2" max="2" width="34.7109375" style="93" customWidth="1"/>
    <col min="3" max="4" width="11.28515625" style="93" customWidth="1"/>
    <col min="5" max="9" width="11.28515625" style="101" customWidth="1"/>
    <col min="10" max="12" width="10.42578125" style="93" customWidth="1"/>
    <col min="13" max="16" width="10.42578125" style="101" customWidth="1"/>
    <col min="17" max="17" width="10.140625" style="101" customWidth="1"/>
    <col min="18" max="18" width="11.28515625" style="101" customWidth="1"/>
    <col min="19" max="20" width="11" style="101" bestFit="1" customWidth="1"/>
    <col min="21" max="21" width="11" style="101" customWidth="1"/>
    <col min="22" max="22" width="11.28515625" style="101" bestFit="1" customWidth="1"/>
    <col min="23" max="23" width="9.140625" style="101"/>
    <col min="24" max="16384" width="9.140625" style="93"/>
  </cols>
  <sheetData>
    <row r="1" spans="1:23" ht="27.75" customHeight="1">
      <c r="A1" s="583" t="s">
        <v>92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</row>
    <row r="2" spans="1:23" ht="33.75" customHeight="1">
      <c r="A2" s="586" t="s">
        <v>47</v>
      </c>
      <c r="B2" s="584" t="s">
        <v>115</v>
      </c>
      <c r="C2" s="588" t="s">
        <v>83</v>
      </c>
      <c r="D2" s="589"/>
      <c r="E2" s="589"/>
      <c r="F2" s="589"/>
      <c r="G2" s="589"/>
      <c r="H2" s="589"/>
      <c r="I2" s="590"/>
      <c r="J2" s="591" t="s">
        <v>183</v>
      </c>
      <c r="K2" s="592"/>
      <c r="L2" s="592"/>
      <c r="M2" s="592"/>
      <c r="N2" s="592"/>
      <c r="O2" s="592"/>
      <c r="P2" s="593"/>
      <c r="Q2" s="594" t="s">
        <v>112</v>
      </c>
      <c r="R2" s="595"/>
      <c r="S2" s="595"/>
      <c r="T2" s="595"/>
      <c r="U2" s="595"/>
      <c r="V2" s="595"/>
      <c r="W2" s="595"/>
    </row>
    <row r="3" spans="1:23" s="187" customFormat="1" ht="27.75" customHeight="1">
      <c r="A3" s="587"/>
      <c r="B3" s="585"/>
      <c r="C3" s="94" t="s">
        <v>48</v>
      </c>
      <c r="D3" s="94" t="s">
        <v>49</v>
      </c>
      <c r="E3" s="106" t="s">
        <v>5</v>
      </c>
      <c r="F3" s="106" t="s">
        <v>6</v>
      </c>
      <c r="G3" s="106" t="s">
        <v>7</v>
      </c>
      <c r="H3" s="106" t="s">
        <v>122</v>
      </c>
      <c r="I3" s="106" t="s">
        <v>139</v>
      </c>
      <c r="J3" s="94" t="s">
        <v>48</v>
      </c>
      <c r="K3" s="94" t="s">
        <v>49</v>
      </c>
      <c r="L3" s="94" t="s">
        <v>5</v>
      </c>
      <c r="M3" s="106" t="s">
        <v>6</v>
      </c>
      <c r="N3" s="106" t="s">
        <v>7</v>
      </c>
      <c r="O3" s="104" t="s">
        <v>122</v>
      </c>
      <c r="P3" s="104" t="s">
        <v>139</v>
      </c>
      <c r="Q3" s="104" t="s">
        <v>48</v>
      </c>
      <c r="R3" s="104" t="s">
        <v>49</v>
      </c>
      <c r="S3" s="104" t="s">
        <v>5</v>
      </c>
      <c r="T3" s="104" t="s">
        <v>6</v>
      </c>
      <c r="U3" s="104" t="s">
        <v>7</v>
      </c>
      <c r="V3" s="106" t="s">
        <v>122</v>
      </c>
      <c r="W3" s="106" t="s">
        <v>139</v>
      </c>
    </row>
    <row r="4" spans="1:23" s="95" customFormat="1" ht="18.75" customHeight="1">
      <c r="A4" s="115"/>
      <c r="B4" s="122">
        <v>41834</v>
      </c>
      <c r="C4" s="94" t="s">
        <v>8</v>
      </c>
      <c r="D4" s="94" t="s">
        <v>8</v>
      </c>
      <c r="E4" s="106" t="s">
        <v>8</v>
      </c>
      <c r="F4" s="104" t="s">
        <v>8</v>
      </c>
      <c r="G4" s="104" t="s">
        <v>8</v>
      </c>
      <c r="H4" s="104" t="s">
        <v>9</v>
      </c>
      <c r="I4" s="104" t="s">
        <v>10</v>
      </c>
      <c r="J4" s="105"/>
      <c r="K4" s="105"/>
      <c r="L4" s="105"/>
      <c r="M4" s="105"/>
      <c r="N4" s="105"/>
      <c r="O4" s="105"/>
      <c r="P4" s="105"/>
      <c r="Q4" s="106" t="s">
        <v>8</v>
      </c>
      <c r="R4" s="106" t="s">
        <v>8</v>
      </c>
      <c r="S4" s="106" t="s">
        <v>8</v>
      </c>
      <c r="T4" s="106" t="s">
        <v>8</v>
      </c>
      <c r="U4" s="106" t="s">
        <v>8</v>
      </c>
      <c r="V4" s="106" t="s">
        <v>9</v>
      </c>
      <c r="W4" s="106" t="s">
        <v>10</v>
      </c>
    </row>
    <row r="5" spans="1:23" ht="17.25" customHeight="1">
      <c r="A5" s="96"/>
      <c r="B5" s="97" t="s">
        <v>11</v>
      </c>
      <c r="C5" s="97"/>
      <c r="D5" s="97"/>
      <c r="E5" s="116"/>
      <c r="F5" s="116"/>
      <c r="G5" s="116"/>
      <c r="H5" s="116"/>
      <c r="I5" s="116"/>
      <c r="J5" s="97"/>
      <c r="K5" s="97"/>
      <c r="L5" s="97"/>
      <c r="M5" s="116"/>
      <c r="N5" s="116"/>
      <c r="O5" s="116"/>
      <c r="P5" s="116"/>
      <c r="Q5" s="158"/>
      <c r="R5" s="158"/>
      <c r="S5" s="158"/>
      <c r="T5" s="100"/>
      <c r="U5" s="100"/>
      <c r="V5" s="100"/>
      <c r="W5" s="100"/>
    </row>
    <row r="6" spans="1:23" ht="17.25" customHeight="1">
      <c r="A6" s="98">
        <v>1</v>
      </c>
      <c r="B6" s="96" t="s">
        <v>51</v>
      </c>
      <c r="C6" s="113">
        <v>98.06</v>
      </c>
      <c r="D6" s="113">
        <v>136.22999999999999</v>
      </c>
      <c r="E6" s="108">
        <v>173.44</v>
      </c>
      <c r="F6" s="108">
        <v>214.96</v>
      </c>
      <c r="G6" s="108">
        <v>317.64999999999998</v>
      </c>
      <c r="H6" s="108">
        <v>316.51</v>
      </c>
      <c r="I6" s="108">
        <v>401.76</v>
      </c>
      <c r="J6" s="107">
        <v>4810</v>
      </c>
      <c r="K6" s="107">
        <v>5687</v>
      </c>
      <c r="L6" s="107">
        <v>7474</v>
      </c>
      <c r="M6" s="107">
        <v>9013</v>
      </c>
      <c r="N6" s="107">
        <v>10619</v>
      </c>
      <c r="O6" s="107">
        <v>12091</v>
      </c>
      <c r="P6" s="107">
        <v>13382</v>
      </c>
      <c r="Q6" s="158">
        <f t="shared" ref="Q6:Q17" si="0">+C6/J6*100</f>
        <v>2.0386694386694391</v>
      </c>
      <c r="R6" s="158">
        <f t="shared" ref="R6:R17" si="1">+D6/K6*100</f>
        <v>2.3954633374362579</v>
      </c>
      <c r="S6" s="158">
        <f>+E6/L6*100</f>
        <v>2.3205780037463204</v>
      </c>
      <c r="T6" s="158">
        <f>+F6/M6*100</f>
        <v>2.3849994452457564</v>
      </c>
      <c r="U6" s="158">
        <f>+G6/N6*100</f>
        <v>2.9913362840192104</v>
      </c>
      <c r="V6" s="158">
        <f>+H6/O6*100</f>
        <v>2.6177321975022743</v>
      </c>
      <c r="W6" s="158">
        <f>+I6/P6*100</f>
        <v>3.0022418173666119</v>
      </c>
    </row>
    <row r="7" spans="1:23" ht="17.25" customHeight="1">
      <c r="A7" s="98">
        <v>2</v>
      </c>
      <c r="B7" s="96" t="s">
        <v>13</v>
      </c>
      <c r="C7" s="113">
        <v>3358.72</v>
      </c>
      <c r="D7" s="113">
        <v>4149.9799999999996</v>
      </c>
      <c r="E7" s="108">
        <v>4028.26</v>
      </c>
      <c r="F7" s="108">
        <v>7638.22</v>
      </c>
      <c r="G7" s="108">
        <v>7306.13</v>
      </c>
      <c r="H7" s="108">
        <v>8250.19</v>
      </c>
      <c r="I7" s="108">
        <v>9411.07</v>
      </c>
      <c r="J7" s="107">
        <v>71076</v>
      </c>
      <c r="K7" s="107">
        <v>81074</v>
      </c>
      <c r="L7" s="107">
        <v>95975</v>
      </c>
      <c r="M7" s="107">
        <v>112688</v>
      </c>
      <c r="N7" s="107">
        <v>125820</v>
      </c>
      <c r="O7" s="107">
        <v>141621</v>
      </c>
      <c r="P7" s="107">
        <v>162652</v>
      </c>
      <c r="Q7" s="158">
        <f t="shared" si="0"/>
        <v>4.7255332320333157</v>
      </c>
      <c r="R7" s="158">
        <f t="shared" si="1"/>
        <v>5.1187557046648733</v>
      </c>
      <c r="S7" s="158">
        <f t="shared" ref="S7:S16" si="2">+E7/L7*100</f>
        <v>4.1971971867673874</v>
      </c>
      <c r="T7" s="158">
        <f t="shared" ref="T7:T16" si="3">+F7/M7*100</f>
        <v>6.7782017606133751</v>
      </c>
      <c r="U7" s="158">
        <f t="shared" ref="U7:U16" si="4">+G7/N7*100</f>
        <v>5.8068113177555238</v>
      </c>
      <c r="V7" s="158">
        <f t="shared" ref="V7:W16" si="5">+H7/O7*100</f>
        <v>5.8255414098191656</v>
      </c>
      <c r="W7" s="158">
        <f t="shared" si="5"/>
        <v>5.7860155423849688</v>
      </c>
    </row>
    <row r="8" spans="1:23" ht="17.25" customHeight="1">
      <c r="A8" s="98">
        <v>3</v>
      </c>
      <c r="B8" s="96" t="s">
        <v>14</v>
      </c>
      <c r="C8" s="113">
        <v>1958.15</v>
      </c>
      <c r="D8" s="113">
        <v>2242.4899999999998</v>
      </c>
      <c r="E8" s="108">
        <v>2574.5300000000002</v>
      </c>
      <c r="F8" s="108">
        <v>3642.38</v>
      </c>
      <c r="G8" s="108">
        <v>4107.92</v>
      </c>
      <c r="H8" s="108">
        <v>4626.1499999999996</v>
      </c>
      <c r="I8" s="108">
        <v>5139.49</v>
      </c>
      <c r="J8" s="107">
        <v>33963</v>
      </c>
      <c r="K8" s="107">
        <v>41483</v>
      </c>
      <c r="L8" s="107">
        <v>48189</v>
      </c>
      <c r="M8" s="107">
        <v>57452</v>
      </c>
      <c r="N8" s="107">
        <v>64957</v>
      </c>
      <c r="O8" s="107">
        <v>73710</v>
      </c>
      <c r="P8" s="107">
        <v>82585</v>
      </c>
      <c r="Q8" s="158">
        <f t="shared" si="0"/>
        <v>5.7655389688778964</v>
      </c>
      <c r="R8" s="158">
        <f t="shared" si="1"/>
        <v>5.4058047875033139</v>
      </c>
      <c r="S8" s="158">
        <f t="shared" si="2"/>
        <v>5.3425678059308144</v>
      </c>
      <c r="T8" s="158">
        <f t="shared" si="3"/>
        <v>6.3398663231915346</v>
      </c>
      <c r="U8" s="158">
        <f t="shared" si="4"/>
        <v>6.3240605323521715</v>
      </c>
      <c r="V8" s="158">
        <f t="shared" si="5"/>
        <v>6.2761497761497758</v>
      </c>
      <c r="W8" s="158">
        <f t="shared" si="5"/>
        <v>6.2232729914633405</v>
      </c>
    </row>
    <row r="9" spans="1:23" s="101" customFormat="1" ht="17.25" customHeight="1">
      <c r="A9" s="99">
        <v>4</v>
      </c>
      <c r="B9" s="100" t="s">
        <v>52</v>
      </c>
      <c r="C9" s="108">
        <v>2558.8000000000002</v>
      </c>
      <c r="D9" s="108">
        <v>2683.46</v>
      </c>
      <c r="E9" s="108">
        <v>3027</v>
      </c>
      <c r="F9" s="108">
        <v>3482.58</v>
      </c>
      <c r="G9" s="108">
        <v>3495.11</v>
      </c>
      <c r="H9" s="108">
        <v>5832.43</v>
      </c>
      <c r="I9" s="108">
        <v>6700.08</v>
      </c>
      <c r="J9" s="107">
        <v>37099</v>
      </c>
      <c r="K9" s="107">
        <v>42315</v>
      </c>
      <c r="L9" s="107">
        <v>48385</v>
      </c>
      <c r="M9" s="107">
        <v>58073</v>
      </c>
      <c r="N9" s="107">
        <v>65759</v>
      </c>
      <c r="O9" s="107">
        <v>75574</v>
      </c>
      <c r="P9" s="107">
        <v>87319</v>
      </c>
      <c r="Q9" s="158">
        <f t="shared" si="0"/>
        <v>6.897220949351734</v>
      </c>
      <c r="R9" s="158">
        <f t="shared" si="1"/>
        <v>6.341628264208909</v>
      </c>
      <c r="S9" s="158">
        <f t="shared" si="2"/>
        <v>6.2560710964141784</v>
      </c>
      <c r="T9" s="158">
        <f t="shared" si="3"/>
        <v>5.9969004528782737</v>
      </c>
      <c r="U9" s="158">
        <f t="shared" si="4"/>
        <v>5.3150291214890739</v>
      </c>
      <c r="V9" s="158">
        <f t="shared" si="5"/>
        <v>7.7175086670018791</v>
      </c>
      <c r="W9" s="158">
        <f t="shared" si="5"/>
        <v>7.6731066549090121</v>
      </c>
    </row>
    <row r="10" spans="1:23" s="101" customFormat="1" ht="17.25" customHeight="1">
      <c r="A10" s="99">
        <v>5</v>
      </c>
      <c r="B10" s="100" t="s">
        <v>16</v>
      </c>
      <c r="C10" s="108">
        <v>147.44999999999999</v>
      </c>
      <c r="D10" s="108">
        <v>170.06</v>
      </c>
      <c r="E10" s="108">
        <v>196.03</v>
      </c>
      <c r="F10" s="108">
        <v>267.05</v>
      </c>
      <c r="G10" s="108">
        <v>368.07</v>
      </c>
      <c r="H10" s="108">
        <v>332.84</v>
      </c>
      <c r="I10" s="108">
        <v>491.87</v>
      </c>
      <c r="J10" s="107">
        <v>6783</v>
      </c>
      <c r="K10" s="107">
        <v>7399</v>
      </c>
      <c r="L10" s="107">
        <v>8254</v>
      </c>
      <c r="M10" s="107">
        <v>9137</v>
      </c>
      <c r="N10" s="107">
        <v>10504</v>
      </c>
      <c r="O10" s="107">
        <v>11983</v>
      </c>
      <c r="P10" s="107">
        <f>+LOGEST(J10:O10)*O10</f>
        <v>13433.125480627126</v>
      </c>
      <c r="Q10" s="158">
        <f t="shared" si="0"/>
        <v>2.1738168951791241</v>
      </c>
      <c r="R10" s="158">
        <f t="shared" si="1"/>
        <v>2.2984187052304366</v>
      </c>
      <c r="S10" s="158">
        <f t="shared" si="2"/>
        <v>2.3749697116549551</v>
      </c>
      <c r="T10" s="158">
        <f t="shared" si="3"/>
        <v>2.9227317500273613</v>
      </c>
      <c r="U10" s="158">
        <f t="shared" si="4"/>
        <v>3.504093678598629</v>
      </c>
      <c r="V10" s="158">
        <f t="shared" si="5"/>
        <v>2.7776016022698822</v>
      </c>
      <c r="W10" s="158">
        <f t="shared" si="5"/>
        <v>3.6616199313358679</v>
      </c>
    </row>
    <row r="11" spans="1:23" s="101" customFormat="1" ht="17.25" customHeight="1">
      <c r="A11" s="99">
        <v>6</v>
      </c>
      <c r="B11" s="100" t="s">
        <v>17</v>
      </c>
      <c r="C11" s="108">
        <v>319.10000000000002</v>
      </c>
      <c r="D11" s="108">
        <v>369.44</v>
      </c>
      <c r="E11" s="108">
        <v>444.29</v>
      </c>
      <c r="F11" s="108">
        <v>571.45000000000005</v>
      </c>
      <c r="G11" s="108">
        <v>697.54</v>
      </c>
      <c r="H11" s="108">
        <v>847.73</v>
      </c>
      <c r="I11" s="108">
        <v>855.4</v>
      </c>
      <c r="J11" s="107">
        <v>9735</v>
      </c>
      <c r="K11" s="107">
        <v>11617</v>
      </c>
      <c r="L11" s="107">
        <v>12709</v>
      </c>
      <c r="M11" s="107">
        <v>14583</v>
      </c>
      <c r="N11" s="107">
        <v>16412</v>
      </c>
      <c r="O11" s="107">
        <v>18135</v>
      </c>
      <c r="P11" s="107">
        <v>20808</v>
      </c>
      <c r="Q11" s="158">
        <f t="shared" si="0"/>
        <v>3.277863379558295</v>
      </c>
      <c r="R11" s="158">
        <f t="shared" si="1"/>
        <v>3.1801669966428512</v>
      </c>
      <c r="S11" s="158">
        <f t="shared" si="2"/>
        <v>3.4958690691635854</v>
      </c>
      <c r="T11" s="158">
        <f t="shared" si="3"/>
        <v>3.9186038538023729</v>
      </c>
      <c r="U11" s="158">
        <f t="shared" si="4"/>
        <v>4.2501827930782357</v>
      </c>
      <c r="V11" s="158">
        <f t="shared" si="5"/>
        <v>4.6745519713261654</v>
      </c>
      <c r="W11" s="158">
        <f t="shared" si="5"/>
        <v>4.1109188773548633</v>
      </c>
    </row>
    <row r="12" spans="1:23" s="101" customFormat="1" ht="17.25" customHeight="1">
      <c r="A12" s="99">
        <v>7</v>
      </c>
      <c r="B12" s="100" t="s">
        <v>18</v>
      </c>
      <c r="C12" s="108">
        <v>77.52</v>
      </c>
      <c r="D12" s="108">
        <v>94.61</v>
      </c>
      <c r="E12" s="108">
        <v>107.58</v>
      </c>
      <c r="F12" s="108">
        <v>130.43</v>
      </c>
      <c r="G12" s="108">
        <v>178.67</v>
      </c>
      <c r="H12" s="108">
        <v>222.48</v>
      </c>
      <c r="I12" s="108">
        <v>230.36</v>
      </c>
      <c r="J12" s="107">
        <v>3816</v>
      </c>
      <c r="K12" s="107">
        <v>4577</v>
      </c>
      <c r="L12" s="107">
        <v>5260</v>
      </c>
      <c r="M12" s="107">
        <v>6388</v>
      </c>
      <c r="N12" s="107">
        <v>7198</v>
      </c>
      <c r="O12" s="107">
        <v>8053</v>
      </c>
      <c r="P12" s="107">
        <f>+LOGEST(J12:O12)*O12</f>
        <v>9366.0879379254438</v>
      </c>
      <c r="Q12" s="158">
        <f t="shared" si="0"/>
        <v>2.0314465408805034</v>
      </c>
      <c r="R12" s="158">
        <f t="shared" si="1"/>
        <v>2.0670745029495303</v>
      </c>
      <c r="S12" s="158">
        <f t="shared" si="2"/>
        <v>2.0452471482889734</v>
      </c>
      <c r="T12" s="158">
        <f t="shared" si="3"/>
        <v>2.0417971195992486</v>
      </c>
      <c r="U12" s="186">
        <f t="shared" si="4"/>
        <v>2.4822172825784938</v>
      </c>
      <c r="V12" s="158">
        <f t="shared" si="5"/>
        <v>2.7626971315037876</v>
      </c>
      <c r="W12" s="158">
        <f t="shared" si="5"/>
        <v>2.4595113939430293</v>
      </c>
    </row>
    <row r="13" spans="1:23" s="101" customFormat="1" ht="17.25" customHeight="1">
      <c r="A13" s="99">
        <v>8</v>
      </c>
      <c r="B13" s="100" t="s">
        <v>19</v>
      </c>
      <c r="C13" s="108">
        <v>131.36000000000001</v>
      </c>
      <c r="D13" s="108">
        <v>156.02000000000001</v>
      </c>
      <c r="E13" s="108">
        <v>156.41999999999999</v>
      </c>
      <c r="F13" s="108">
        <v>227.33</v>
      </c>
      <c r="G13" s="108">
        <v>303.88</v>
      </c>
      <c r="H13" s="108">
        <v>292.99</v>
      </c>
      <c r="I13" s="108">
        <v>332.14</v>
      </c>
      <c r="J13" s="107">
        <v>8075</v>
      </c>
      <c r="K13" s="107">
        <v>9436</v>
      </c>
      <c r="L13" s="107">
        <v>10527</v>
      </c>
      <c r="M13" s="107">
        <v>11759</v>
      </c>
      <c r="N13" s="107">
        <v>13203</v>
      </c>
      <c r="O13" s="107">
        <v>14832</v>
      </c>
      <c r="P13" s="107">
        <f>+LOGEST(J13:O13)*O13</f>
        <v>16703.207706222278</v>
      </c>
      <c r="Q13" s="158">
        <f t="shared" si="0"/>
        <v>1.6267492260061922</v>
      </c>
      <c r="R13" s="158">
        <f t="shared" si="1"/>
        <v>1.6534548537515896</v>
      </c>
      <c r="S13" s="158">
        <f t="shared" si="2"/>
        <v>1.4858934169278997</v>
      </c>
      <c r="T13" s="158">
        <f t="shared" si="3"/>
        <v>1.9332426226719959</v>
      </c>
      <c r="U13" s="158">
        <f t="shared" si="4"/>
        <v>2.3015981216390213</v>
      </c>
      <c r="V13" s="158">
        <f t="shared" si="5"/>
        <v>1.9753910463861921</v>
      </c>
      <c r="W13" s="158">
        <f t="shared" si="5"/>
        <v>1.9884803316926436</v>
      </c>
    </row>
    <row r="14" spans="1:23" s="101" customFormat="1" ht="17.25" customHeight="1">
      <c r="A14" s="99">
        <v>9</v>
      </c>
      <c r="B14" s="100" t="s">
        <v>20</v>
      </c>
      <c r="C14" s="108">
        <v>197.86</v>
      </c>
      <c r="D14" s="108">
        <v>199.19</v>
      </c>
      <c r="E14" s="108">
        <v>223.65</v>
      </c>
      <c r="F14" s="108">
        <v>279.54000000000002</v>
      </c>
      <c r="G14" s="108">
        <v>293.92</v>
      </c>
      <c r="H14" s="108">
        <v>435.48</v>
      </c>
      <c r="I14" s="108">
        <v>425.67</v>
      </c>
      <c r="J14" s="107">
        <v>2506</v>
      </c>
      <c r="K14" s="107">
        <v>3229</v>
      </c>
      <c r="L14" s="107">
        <v>6133</v>
      </c>
      <c r="M14" s="107">
        <v>7412</v>
      </c>
      <c r="N14" s="107">
        <v>8616</v>
      </c>
      <c r="O14" s="107">
        <v>9957</v>
      </c>
      <c r="P14" s="107">
        <f>+LOGEST(J14:O14)*O14</f>
        <v>13261.907960807141</v>
      </c>
      <c r="Q14" s="158">
        <f t="shared" si="0"/>
        <v>7.8954509177972865</v>
      </c>
      <c r="R14" s="158">
        <f t="shared" si="1"/>
        <v>6.1687829049241252</v>
      </c>
      <c r="S14" s="158">
        <f t="shared" si="2"/>
        <v>3.6466655796510676</v>
      </c>
      <c r="T14" s="158">
        <f t="shared" si="3"/>
        <v>3.7714516999460339</v>
      </c>
      <c r="U14" s="158">
        <f t="shared" si="4"/>
        <v>3.4113277623026925</v>
      </c>
      <c r="V14" s="158">
        <f t="shared" si="5"/>
        <v>4.3736065079843334</v>
      </c>
      <c r="W14" s="158">
        <f t="shared" si="5"/>
        <v>3.2097191539707617</v>
      </c>
    </row>
    <row r="15" spans="1:23" s="101" customFormat="1" ht="17.25" customHeight="1">
      <c r="A15" s="99">
        <v>10</v>
      </c>
      <c r="B15" s="100" t="s">
        <v>21</v>
      </c>
      <c r="C15" s="108">
        <v>370.7</v>
      </c>
      <c r="D15" s="108">
        <v>442.5</v>
      </c>
      <c r="E15" s="108">
        <v>527.01</v>
      </c>
      <c r="F15" s="108">
        <v>622.34</v>
      </c>
      <c r="G15" s="108">
        <v>858.02</v>
      </c>
      <c r="H15" s="108">
        <v>1004.65</v>
      </c>
      <c r="I15" s="108">
        <v>1184</v>
      </c>
      <c r="J15" s="107">
        <v>11797</v>
      </c>
      <c r="K15" s="107">
        <v>13573</v>
      </c>
      <c r="L15" s="107">
        <v>15403</v>
      </c>
      <c r="M15" s="107">
        <v>17868</v>
      </c>
      <c r="N15" s="107">
        <v>20982</v>
      </c>
      <c r="O15" s="107">
        <v>23855</v>
      </c>
      <c r="P15" s="107">
        <f>+LOGEST(J15:O15)*O15</f>
        <v>27499.381963863005</v>
      </c>
      <c r="Q15" s="158">
        <f t="shared" si="0"/>
        <v>3.1423243197423076</v>
      </c>
      <c r="R15" s="158">
        <f t="shared" si="1"/>
        <v>3.2601488248729096</v>
      </c>
      <c r="S15" s="158">
        <f t="shared" si="2"/>
        <v>3.4214763357787441</v>
      </c>
      <c r="T15" s="158">
        <f t="shared" si="3"/>
        <v>3.4829863443026641</v>
      </c>
      <c r="U15" s="158">
        <f t="shared" si="4"/>
        <v>4.0893146506529403</v>
      </c>
      <c r="V15" s="158">
        <f t="shared" si="5"/>
        <v>4.2114860616223018</v>
      </c>
      <c r="W15" s="158">
        <f t="shared" si="5"/>
        <v>4.3055513085926691</v>
      </c>
    </row>
    <row r="16" spans="1:23" s="101" customFormat="1" ht="17.25" customHeight="1">
      <c r="A16" s="99">
        <v>11</v>
      </c>
      <c r="B16" s="100" t="s">
        <v>22</v>
      </c>
      <c r="C16" s="108">
        <v>2738.77</v>
      </c>
      <c r="D16" s="108">
        <v>3044.98</v>
      </c>
      <c r="E16" s="108">
        <v>3559.11</v>
      </c>
      <c r="F16" s="108">
        <v>4405.4799999999996</v>
      </c>
      <c r="G16" s="108">
        <v>5615.56</v>
      </c>
      <c r="H16" s="108">
        <v>6414.25</v>
      </c>
      <c r="I16" s="108">
        <v>7111.42</v>
      </c>
      <c r="J16" s="107">
        <v>45856</v>
      </c>
      <c r="K16" s="107">
        <v>56025</v>
      </c>
      <c r="L16" s="107">
        <v>70730</v>
      </c>
      <c r="M16" s="107">
        <v>83969</v>
      </c>
      <c r="N16" s="107">
        <v>97696</v>
      </c>
      <c r="O16" s="107">
        <v>113958</v>
      </c>
      <c r="P16" s="107">
        <v>132969</v>
      </c>
      <c r="Q16" s="158">
        <f t="shared" si="0"/>
        <v>5.9725444870900208</v>
      </c>
      <c r="R16" s="158">
        <f t="shared" si="1"/>
        <v>5.4350379294957607</v>
      </c>
      <c r="S16" s="158">
        <f t="shared" si="2"/>
        <v>5.0319666336773654</v>
      </c>
      <c r="T16" s="158">
        <f t="shared" si="3"/>
        <v>5.2465552763519865</v>
      </c>
      <c r="U16" s="158">
        <f t="shared" si="4"/>
        <v>5.7479937766131677</v>
      </c>
      <c r="V16" s="158">
        <f t="shared" si="5"/>
        <v>5.6286087856929745</v>
      </c>
      <c r="W16" s="158">
        <f t="shared" si="5"/>
        <v>5.3481788988410832</v>
      </c>
    </row>
    <row r="17" spans="1:23" s="159" customFormat="1" ht="17.25" customHeight="1">
      <c r="A17" s="116"/>
      <c r="B17" s="116" t="s">
        <v>23</v>
      </c>
      <c r="C17" s="109">
        <f t="shared" ref="C17:O17" si="6">SUM(C6:C16)</f>
        <v>11956.490000000003</v>
      </c>
      <c r="D17" s="109">
        <f t="shared" si="6"/>
        <v>13688.960000000001</v>
      </c>
      <c r="E17" s="109">
        <f>SUM(E6:E16)</f>
        <v>15017.320000000002</v>
      </c>
      <c r="F17" s="109">
        <f>SUM(F6:F16)</f>
        <v>21481.760000000002</v>
      </c>
      <c r="G17" s="109">
        <f>SUM(G6:G16)</f>
        <v>23542.47</v>
      </c>
      <c r="H17" s="109">
        <f>SUM(H6:H16)</f>
        <v>28575.7</v>
      </c>
      <c r="I17" s="109">
        <f>SUM(I6:I16)</f>
        <v>32283.260000000002</v>
      </c>
      <c r="J17" s="109">
        <f t="shared" si="6"/>
        <v>235516</v>
      </c>
      <c r="K17" s="109">
        <f t="shared" si="6"/>
        <v>276415</v>
      </c>
      <c r="L17" s="109">
        <f t="shared" si="6"/>
        <v>329039</v>
      </c>
      <c r="M17" s="109">
        <f t="shared" si="6"/>
        <v>388342</v>
      </c>
      <c r="N17" s="109">
        <f t="shared" si="6"/>
        <v>441766</v>
      </c>
      <c r="O17" s="109">
        <f t="shared" si="6"/>
        <v>503769</v>
      </c>
      <c r="P17" s="109">
        <f>SUM(P6:P16)</f>
        <v>579978.71104944497</v>
      </c>
      <c r="Q17" s="102">
        <f t="shared" si="0"/>
        <v>5.076720902189237</v>
      </c>
      <c r="R17" s="102">
        <f t="shared" si="1"/>
        <v>4.9523216902121812</v>
      </c>
      <c r="S17" s="102">
        <f>+E17/L17*100</f>
        <v>4.5639939338497877</v>
      </c>
      <c r="T17" s="102">
        <f>+F17/M17*100</f>
        <v>5.5316602376255988</v>
      </c>
      <c r="U17" s="102">
        <f>+G17/N17*100</f>
        <v>5.3291720050886671</v>
      </c>
      <c r="V17" s="102">
        <f>+H17/O17*100</f>
        <v>5.6723815875927261</v>
      </c>
      <c r="W17" s="102">
        <f>+I17/P17*100</f>
        <v>5.5662836212703253</v>
      </c>
    </row>
    <row r="18" spans="1:23" s="159" customFormat="1" ht="17.25" customHeight="1">
      <c r="A18" s="116"/>
      <c r="B18" s="116" t="s">
        <v>189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58"/>
      <c r="R18" s="158"/>
      <c r="S18" s="158"/>
      <c r="T18" s="158"/>
      <c r="U18" s="158"/>
      <c r="V18" s="158"/>
      <c r="W18" s="158"/>
    </row>
    <row r="19" spans="1:23" s="101" customFormat="1" ht="17.25" customHeight="1">
      <c r="A19" s="99">
        <v>12</v>
      </c>
      <c r="B19" s="100" t="s">
        <v>25</v>
      </c>
      <c r="C19" s="108">
        <v>28794</v>
      </c>
      <c r="D19" s="108">
        <v>33357.839999999997</v>
      </c>
      <c r="E19" s="108">
        <v>35175.71</v>
      </c>
      <c r="F19" s="108">
        <v>45139.55</v>
      </c>
      <c r="G19" s="108">
        <v>53283.41</v>
      </c>
      <c r="H19" s="108">
        <v>59875.06</v>
      </c>
      <c r="I19" s="108">
        <v>72442.94</v>
      </c>
      <c r="J19" s="107">
        <v>364813</v>
      </c>
      <c r="K19" s="107">
        <v>426765</v>
      </c>
      <c r="L19" s="107">
        <v>476835</v>
      </c>
      <c r="M19" s="107">
        <v>583762</v>
      </c>
      <c r="N19" s="107">
        <v>662592</v>
      </c>
      <c r="O19" s="107">
        <v>754409</v>
      </c>
      <c r="P19" s="107">
        <v>857364</v>
      </c>
      <c r="Q19" s="158">
        <f t="shared" ref="Q19:Q36" si="7">+C19/J19*100</f>
        <v>7.8928108373330987</v>
      </c>
      <c r="R19" s="158">
        <f t="shared" ref="R19:R36" si="8">+D19/K19*100</f>
        <v>7.8164423043126776</v>
      </c>
      <c r="S19" s="158">
        <f>+E19/L19*100</f>
        <v>7.3769144462969365</v>
      </c>
      <c r="T19" s="158">
        <f>+F19/M19*100</f>
        <v>7.7325262692672698</v>
      </c>
      <c r="U19" s="158">
        <f>+G19/N19*100</f>
        <v>8.0416621389935283</v>
      </c>
      <c r="V19" s="158">
        <f>+H19/O19*100</f>
        <v>7.936684212409979</v>
      </c>
      <c r="W19" s="158">
        <f>+I19/P19*100</f>
        <v>8.44949636327161</v>
      </c>
    </row>
    <row r="20" spans="1:23" s="101" customFormat="1" ht="17.25" customHeight="1">
      <c r="A20" s="99">
        <v>13</v>
      </c>
      <c r="B20" s="100" t="s">
        <v>26</v>
      </c>
      <c r="C20" s="108">
        <v>5086.17</v>
      </c>
      <c r="D20" s="108">
        <v>6172.74</v>
      </c>
      <c r="E20" s="108">
        <v>8089.67</v>
      </c>
      <c r="F20" s="108">
        <v>9869.85</v>
      </c>
      <c r="G20" s="108">
        <v>12612.1</v>
      </c>
      <c r="H20" s="108">
        <v>16253.08</v>
      </c>
      <c r="I20" s="108">
        <v>20962.7</v>
      </c>
      <c r="J20" s="107">
        <v>113680</v>
      </c>
      <c r="K20" s="107">
        <v>142279</v>
      </c>
      <c r="L20" s="107">
        <v>162924</v>
      </c>
      <c r="M20" s="107">
        <v>204289</v>
      </c>
      <c r="N20" s="107">
        <v>247318</v>
      </c>
      <c r="O20" s="107">
        <v>313995</v>
      </c>
      <c r="P20" s="107">
        <v>368337</v>
      </c>
      <c r="Q20" s="158">
        <f t="shared" si="7"/>
        <v>4.4741115411681918</v>
      </c>
      <c r="R20" s="158">
        <f t="shared" si="8"/>
        <v>4.3384758116095838</v>
      </c>
      <c r="S20" s="158">
        <f t="shared" ref="S20:S35" si="9">+E20/L20*100</f>
        <v>4.96530284058825</v>
      </c>
      <c r="T20" s="158">
        <f t="shared" ref="T20:T35" si="10">+F20/M20*100</f>
        <v>4.8313173983914943</v>
      </c>
      <c r="U20" s="158">
        <f t="shared" ref="U20:U35" si="11">+G20/N20*100</f>
        <v>5.0995479504120205</v>
      </c>
      <c r="V20" s="158">
        <f t="shared" ref="V20:W35" si="12">+H20/O20*100</f>
        <v>5.1762225513145115</v>
      </c>
      <c r="W20" s="158">
        <f t="shared" si="12"/>
        <v>5.6911741150088107</v>
      </c>
    </row>
    <row r="21" spans="1:23" s="101" customFormat="1" ht="17.25" customHeight="1">
      <c r="A21" s="99">
        <v>14</v>
      </c>
      <c r="B21" s="100" t="s">
        <v>27</v>
      </c>
      <c r="C21" s="108">
        <v>5618.08</v>
      </c>
      <c r="D21" s="108">
        <v>6593.72</v>
      </c>
      <c r="E21" s="108">
        <v>7123.26</v>
      </c>
      <c r="F21" s="108">
        <v>9005.14</v>
      </c>
      <c r="G21" s="108">
        <v>10712.26</v>
      </c>
      <c r="H21" s="108">
        <v>13034.18</v>
      </c>
      <c r="I21" s="108">
        <v>15300.3</v>
      </c>
      <c r="J21" s="107">
        <v>80255</v>
      </c>
      <c r="K21" s="107">
        <v>96972</v>
      </c>
      <c r="L21" s="107">
        <v>99364</v>
      </c>
      <c r="M21" s="107">
        <v>119420</v>
      </c>
      <c r="N21" s="107">
        <v>132872</v>
      </c>
      <c r="O21" s="107">
        <v>153621</v>
      </c>
      <c r="P21" s="107">
        <v>175961</v>
      </c>
      <c r="Q21" s="158">
        <f t="shared" si="7"/>
        <v>7.0002865865055135</v>
      </c>
      <c r="R21" s="158">
        <f t="shared" si="8"/>
        <v>6.7996122592088444</v>
      </c>
      <c r="S21" s="158">
        <f t="shared" si="9"/>
        <v>7.1688539108731533</v>
      </c>
      <c r="T21" s="158">
        <f t="shared" si="10"/>
        <v>7.5407301959470781</v>
      </c>
      <c r="U21" s="158">
        <f t="shared" si="11"/>
        <v>8.0620898308146192</v>
      </c>
      <c r="V21" s="158">
        <f t="shared" si="12"/>
        <v>8.4846342622427926</v>
      </c>
      <c r="W21" s="158">
        <f t="shared" si="12"/>
        <v>8.6952790675206426</v>
      </c>
    </row>
    <row r="22" spans="1:23" s="101" customFormat="1" ht="17.25" customHeight="1">
      <c r="A22" s="99">
        <v>15</v>
      </c>
      <c r="B22" s="100" t="s">
        <v>28</v>
      </c>
      <c r="C22" s="108">
        <v>1358.92</v>
      </c>
      <c r="D22" s="108">
        <v>1680.12</v>
      </c>
      <c r="E22" s="108">
        <v>1955.03</v>
      </c>
      <c r="F22" s="108">
        <v>2140</v>
      </c>
      <c r="G22" s="108">
        <v>2530</v>
      </c>
      <c r="H22" s="108">
        <v>3229.9999999999995</v>
      </c>
      <c r="I22" s="108">
        <v>3816.96</v>
      </c>
      <c r="J22" s="107">
        <v>19565</v>
      </c>
      <c r="K22" s="107">
        <v>25414</v>
      </c>
      <c r="L22" s="107">
        <v>29126</v>
      </c>
      <c r="M22" s="107">
        <v>33605</v>
      </c>
      <c r="N22" s="107">
        <v>36025</v>
      </c>
      <c r="O22" s="107">
        <v>34965</v>
      </c>
      <c r="P22" s="107">
        <f>+LOGEST(J22:O22)*O22</f>
        <v>39302.375411462228</v>
      </c>
      <c r="Q22" s="158">
        <f t="shared" si="7"/>
        <v>6.945668285203169</v>
      </c>
      <c r="R22" s="158">
        <f t="shared" si="8"/>
        <v>6.6110018100259698</v>
      </c>
      <c r="S22" s="158">
        <f t="shared" si="9"/>
        <v>6.7123188903385298</v>
      </c>
      <c r="T22" s="158">
        <f t="shared" si="10"/>
        <v>6.3680999851212619</v>
      </c>
      <c r="U22" s="158">
        <f t="shared" si="11"/>
        <v>7.0229007633587788</v>
      </c>
      <c r="V22" s="158">
        <f t="shared" si="12"/>
        <v>9.2378092378092376</v>
      </c>
      <c r="W22" s="158">
        <f t="shared" si="12"/>
        <v>9.7117794027452433</v>
      </c>
    </row>
    <row r="23" spans="1:23" s="101" customFormat="1" ht="17.25" customHeight="1">
      <c r="A23" s="99">
        <v>16</v>
      </c>
      <c r="B23" s="100" t="s">
        <v>29</v>
      </c>
      <c r="C23" s="108">
        <v>21885.01</v>
      </c>
      <c r="D23" s="108">
        <v>23556.7</v>
      </c>
      <c r="E23" s="108">
        <v>26740.25</v>
      </c>
      <c r="F23" s="108">
        <v>36340</v>
      </c>
      <c r="G23" s="108">
        <v>41500</v>
      </c>
      <c r="H23" s="108">
        <v>51229.999999999993</v>
      </c>
      <c r="I23" s="108">
        <v>60207.81</v>
      </c>
      <c r="J23" s="107">
        <v>329285</v>
      </c>
      <c r="K23" s="107">
        <v>367912</v>
      </c>
      <c r="L23" s="107">
        <v>431262</v>
      </c>
      <c r="M23" s="107">
        <v>521519</v>
      </c>
      <c r="N23" s="107">
        <v>594563</v>
      </c>
      <c r="O23" s="107">
        <v>670016</v>
      </c>
      <c r="P23" s="107">
        <f>+LOGEST(J23:O23)*O23</f>
        <v>776933.66658041347</v>
      </c>
      <c r="Q23" s="158">
        <f t="shared" si="7"/>
        <v>6.6462213583977396</v>
      </c>
      <c r="R23" s="158">
        <f t="shared" si="8"/>
        <v>6.4028082802409276</v>
      </c>
      <c r="S23" s="158">
        <f t="shared" si="9"/>
        <v>6.2004651464770832</v>
      </c>
      <c r="T23" s="158">
        <f t="shared" si="10"/>
        <v>6.9681066269877041</v>
      </c>
      <c r="U23" s="186">
        <f t="shared" si="11"/>
        <v>6.9799163419183508</v>
      </c>
      <c r="V23" s="158">
        <f t="shared" si="12"/>
        <v>7.6460860636163908</v>
      </c>
      <c r="W23" s="158">
        <f t="shared" si="12"/>
        <v>7.7494144725376541</v>
      </c>
    </row>
    <row r="24" spans="1:23" s="101" customFormat="1" ht="17.25" customHeight="1">
      <c r="A24" s="99">
        <v>17</v>
      </c>
      <c r="B24" s="100" t="s">
        <v>30</v>
      </c>
      <c r="C24" s="108">
        <v>11618</v>
      </c>
      <c r="D24" s="108">
        <v>11655.28</v>
      </c>
      <c r="E24" s="108">
        <v>13220</v>
      </c>
      <c r="F24" s="108">
        <v>16790</v>
      </c>
      <c r="G24" s="108">
        <v>20399</v>
      </c>
      <c r="H24" s="108">
        <v>23559</v>
      </c>
      <c r="I24" s="108">
        <v>28784.340000000004</v>
      </c>
      <c r="J24" s="107">
        <v>151596</v>
      </c>
      <c r="K24" s="107">
        <v>182522</v>
      </c>
      <c r="L24" s="107">
        <v>223600</v>
      </c>
      <c r="M24" s="107">
        <v>260621</v>
      </c>
      <c r="N24" s="107">
        <v>301959</v>
      </c>
      <c r="O24" s="107">
        <v>345238</v>
      </c>
      <c r="P24" s="107">
        <v>392894</v>
      </c>
      <c r="Q24" s="158">
        <f t="shared" si="7"/>
        <v>7.6637906013351271</v>
      </c>
      <c r="R24" s="158">
        <f t="shared" si="8"/>
        <v>6.3856850133134637</v>
      </c>
      <c r="S24" s="158">
        <f t="shared" si="9"/>
        <v>5.9123434704830053</v>
      </c>
      <c r="T24" s="158">
        <f t="shared" si="10"/>
        <v>6.4423051097187098</v>
      </c>
      <c r="U24" s="158">
        <f t="shared" si="11"/>
        <v>6.7555529061892505</v>
      </c>
      <c r="V24" s="158">
        <f t="shared" si="12"/>
        <v>6.8239880893760247</v>
      </c>
      <c r="W24" s="158">
        <f t="shared" si="12"/>
        <v>7.3262355749896919</v>
      </c>
    </row>
    <row r="25" spans="1:23" s="101" customFormat="1" ht="17.25" customHeight="1">
      <c r="A25" s="99">
        <v>18</v>
      </c>
      <c r="B25" s="100" t="s">
        <v>31</v>
      </c>
      <c r="C25" s="108">
        <v>3473.35</v>
      </c>
      <c r="D25" s="108">
        <v>3746.19</v>
      </c>
      <c r="E25" s="108">
        <v>4500.12</v>
      </c>
      <c r="F25" s="108">
        <v>5716.63</v>
      </c>
      <c r="G25" s="108">
        <v>6953.89</v>
      </c>
      <c r="H25" s="108">
        <v>8180.19</v>
      </c>
      <c r="I25" s="108">
        <v>10152.4</v>
      </c>
      <c r="J25" s="107">
        <v>83950</v>
      </c>
      <c r="K25" s="107">
        <v>87794</v>
      </c>
      <c r="L25" s="107">
        <v>100621</v>
      </c>
      <c r="M25" s="107">
        <v>127281</v>
      </c>
      <c r="N25" s="107">
        <v>143891</v>
      </c>
      <c r="O25" s="107">
        <v>164876</v>
      </c>
      <c r="P25" s="107">
        <v>189208</v>
      </c>
      <c r="Q25" s="158">
        <f t="shared" si="7"/>
        <v>4.1374032162001191</v>
      </c>
      <c r="R25" s="158">
        <f t="shared" si="8"/>
        <v>4.267022803380641</v>
      </c>
      <c r="S25" s="158">
        <f t="shared" si="9"/>
        <v>4.4723467268264079</v>
      </c>
      <c r="T25" s="158">
        <f t="shared" si="10"/>
        <v>4.4913459196580794</v>
      </c>
      <c r="U25" s="158">
        <f t="shared" si="11"/>
        <v>4.8327483998304279</v>
      </c>
      <c r="V25" s="158">
        <f t="shared" si="12"/>
        <v>4.9614194910114264</v>
      </c>
      <c r="W25" s="158">
        <f t="shared" si="12"/>
        <v>5.365735064056488</v>
      </c>
    </row>
    <row r="26" spans="1:23" s="101" customFormat="1" ht="17.25" customHeight="1">
      <c r="A26" s="99">
        <v>19</v>
      </c>
      <c r="B26" s="100" t="s">
        <v>32</v>
      </c>
      <c r="C26" s="108">
        <v>25987</v>
      </c>
      <c r="D26" s="108">
        <v>27645.66</v>
      </c>
      <c r="E26" s="108">
        <v>30579</v>
      </c>
      <c r="F26" s="108">
        <v>38473</v>
      </c>
      <c r="G26" s="108">
        <v>46476</v>
      </c>
      <c r="H26" s="108">
        <v>53754</v>
      </c>
      <c r="I26" s="108">
        <v>62464</v>
      </c>
      <c r="J26" s="107">
        <v>270629</v>
      </c>
      <c r="K26" s="107">
        <v>310312</v>
      </c>
      <c r="L26" s="107">
        <v>337559</v>
      </c>
      <c r="M26" s="107">
        <v>410703</v>
      </c>
      <c r="N26" s="107">
        <v>458894</v>
      </c>
      <c r="O26" s="107">
        <v>524502</v>
      </c>
      <c r="P26" s="107">
        <v>593811</v>
      </c>
      <c r="Q26" s="158">
        <f t="shared" si="7"/>
        <v>9.60244467518263</v>
      </c>
      <c r="R26" s="158">
        <f t="shared" si="8"/>
        <v>8.9089883729923436</v>
      </c>
      <c r="S26" s="158">
        <f t="shared" si="9"/>
        <v>9.0588608213675244</v>
      </c>
      <c r="T26" s="158">
        <f t="shared" si="10"/>
        <v>9.3675965356961122</v>
      </c>
      <c r="U26" s="158">
        <f t="shared" si="11"/>
        <v>10.127829084712374</v>
      </c>
      <c r="V26" s="158">
        <f t="shared" si="12"/>
        <v>10.248578651749659</v>
      </c>
      <c r="W26" s="158">
        <f t="shared" si="12"/>
        <v>10.519171925073802</v>
      </c>
    </row>
    <row r="27" spans="1:23" s="101" customFormat="1" ht="17.25" customHeight="1">
      <c r="A27" s="99">
        <v>20</v>
      </c>
      <c r="B27" s="100" t="s">
        <v>33</v>
      </c>
      <c r="C27" s="108">
        <v>13668.95</v>
      </c>
      <c r="D27" s="108">
        <v>15990.18</v>
      </c>
      <c r="E27" s="108">
        <v>17625.02</v>
      </c>
      <c r="F27" s="108">
        <v>21721.73</v>
      </c>
      <c r="G27" s="108">
        <v>25708.6</v>
      </c>
      <c r="H27" s="108">
        <v>32122.21</v>
      </c>
      <c r="I27" s="108">
        <v>35171.67</v>
      </c>
      <c r="J27" s="107">
        <v>175141</v>
      </c>
      <c r="K27" s="107">
        <v>202783</v>
      </c>
      <c r="L27" s="107">
        <v>231999</v>
      </c>
      <c r="M27" s="107">
        <v>263773</v>
      </c>
      <c r="N27" s="107">
        <v>307906</v>
      </c>
      <c r="O27" s="107">
        <v>349338</v>
      </c>
      <c r="P27" s="107">
        <f>+LOGEST(J27:O27)*O27</f>
        <v>401072.42420974676</v>
      </c>
      <c r="Q27" s="158">
        <f t="shared" si="7"/>
        <v>7.8045403417817658</v>
      </c>
      <c r="R27" s="158">
        <f t="shared" si="8"/>
        <v>7.8853651440209491</v>
      </c>
      <c r="S27" s="158">
        <f t="shared" si="9"/>
        <v>7.5970241251039878</v>
      </c>
      <c r="T27" s="158">
        <f t="shared" si="10"/>
        <v>8.2350088902199996</v>
      </c>
      <c r="U27" s="158">
        <f t="shared" si="11"/>
        <v>8.349496274837124</v>
      </c>
      <c r="V27" s="158">
        <f t="shared" si="12"/>
        <v>9.195166285946561</v>
      </c>
      <c r="W27" s="158">
        <f t="shared" si="12"/>
        <v>8.7694061912385308</v>
      </c>
    </row>
    <row r="28" spans="1:23" s="101" customFormat="1" ht="17.25" customHeight="1">
      <c r="A28" s="99">
        <v>21</v>
      </c>
      <c r="B28" s="100" t="s">
        <v>34</v>
      </c>
      <c r="C28" s="108">
        <v>12017.63</v>
      </c>
      <c r="D28" s="108">
        <v>13613.5</v>
      </c>
      <c r="E28" s="108">
        <v>17272.8</v>
      </c>
      <c r="F28" s="108">
        <v>21419.35</v>
      </c>
      <c r="G28" s="108">
        <v>26973.439999999999</v>
      </c>
      <c r="H28" s="108">
        <v>30581.71</v>
      </c>
      <c r="I28" s="108">
        <v>33381.68</v>
      </c>
      <c r="J28" s="107">
        <v>161479</v>
      </c>
      <c r="K28" s="107">
        <v>197276</v>
      </c>
      <c r="L28" s="107">
        <v>227557</v>
      </c>
      <c r="M28" s="107">
        <v>263396</v>
      </c>
      <c r="N28" s="107">
        <v>311670</v>
      </c>
      <c r="O28" s="107">
        <v>372171</v>
      </c>
      <c r="P28" s="107">
        <v>450900</v>
      </c>
      <c r="Q28" s="158">
        <f t="shared" si="7"/>
        <v>7.4422246855628291</v>
      </c>
      <c r="R28" s="158">
        <f t="shared" si="8"/>
        <v>6.9007380522719446</v>
      </c>
      <c r="S28" s="158">
        <f t="shared" si="9"/>
        <v>7.5905377553755757</v>
      </c>
      <c r="T28" s="158">
        <f t="shared" si="10"/>
        <v>8.1319951707694873</v>
      </c>
      <c r="U28" s="158">
        <f t="shared" si="11"/>
        <v>8.6544871177848357</v>
      </c>
      <c r="V28" s="158">
        <f t="shared" si="12"/>
        <v>8.2171125638483389</v>
      </c>
      <c r="W28" s="158">
        <f t="shared" si="12"/>
        <v>7.4033444222665779</v>
      </c>
    </row>
    <row r="29" spans="1:23" s="101" customFormat="1" ht="17.25" customHeight="1">
      <c r="A29" s="99">
        <v>22</v>
      </c>
      <c r="B29" s="100" t="s">
        <v>35</v>
      </c>
      <c r="C29" s="108">
        <v>47528.36</v>
      </c>
      <c r="D29" s="108">
        <v>52031.05</v>
      </c>
      <c r="E29" s="108">
        <v>59106.3</v>
      </c>
      <c r="F29" s="108">
        <v>75027.64</v>
      </c>
      <c r="G29" s="108">
        <v>87647.62</v>
      </c>
      <c r="H29" s="108">
        <v>93294.82</v>
      </c>
      <c r="I29" s="108">
        <v>107259.61000000002</v>
      </c>
      <c r="J29" s="107">
        <v>684817</v>
      </c>
      <c r="K29" s="107">
        <v>753969</v>
      </c>
      <c r="L29" s="107">
        <v>855751</v>
      </c>
      <c r="M29" s="107">
        <v>1035086</v>
      </c>
      <c r="N29" s="107">
        <v>1199548</v>
      </c>
      <c r="O29" s="107">
        <v>1372644</v>
      </c>
      <c r="P29" s="107">
        <f>+LOGEST(J29:O29)*O29</f>
        <v>1586151.7193253073</v>
      </c>
      <c r="Q29" s="158">
        <f t="shared" si="7"/>
        <v>6.9403008394943466</v>
      </c>
      <c r="R29" s="158">
        <f t="shared" si="8"/>
        <v>6.9009534874776026</v>
      </c>
      <c r="S29" s="158">
        <f t="shared" si="9"/>
        <v>6.9069507368381693</v>
      </c>
      <c r="T29" s="158">
        <f t="shared" si="10"/>
        <v>7.2484450567392473</v>
      </c>
      <c r="U29" s="158">
        <f t="shared" si="11"/>
        <v>7.3067205314001598</v>
      </c>
      <c r="V29" s="158">
        <f t="shared" si="12"/>
        <v>6.7967236952917149</v>
      </c>
      <c r="W29" s="158">
        <f t="shared" si="12"/>
        <v>6.7622541206603142</v>
      </c>
    </row>
    <row r="30" spans="1:23" s="101" customFormat="1" ht="17.25" customHeight="1">
      <c r="A30" s="99">
        <v>23</v>
      </c>
      <c r="B30" s="100" t="s">
        <v>74</v>
      </c>
      <c r="C30" s="108">
        <v>6856.09</v>
      </c>
      <c r="D30" s="108">
        <v>7995.2</v>
      </c>
      <c r="E30" s="108">
        <v>8982.34</v>
      </c>
      <c r="F30" s="108">
        <v>11192.67</v>
      </c>
      <c r="G30" s="108">
        <v>13442.73</v>
      </c>
      <c r="H30" s="108">
        <v>15034.13</v>
      </c>
      <c r="I30" s="108">
        <v>17605</v>
      </c>
      <c r="J30" s="107">
        <v>129274</v>
      </c>
      <c r="K30" s="107">
        <v>148491</v>
      </c>
      <c r="L30" s="107">
        <v>162946</v>
      </c>
      <c r="M30" s="107">
        <v>197530</v>
      </c>
      <c r="N30" s="107">
        <v>214583</v>
      </c>
      <c r="O30" s="107">
        <v>255459</v>
      </c>
      <c r="P30" s="107">
        <v>288414</v>
      </c>
      <c r="Q30" s="158">
        <f t="shared" si="7"/>
        <v>5.3035335798381729</v>
      </c>
      <c r="R30" s="158">
        <f t="shared" si="8"/>
        <v>5.3842993851479211</v>
      </c>
      <c r="S30" s="158">
        <f t="shared" si="9"/>
        <v>5.5124642519607727</v>
      </c>
      <c r="T30" s="158">
        <f t="shared" si="10"/>
        <v>5.666313977623652</v>
      </c>
      <c r="U30" s="158">
        <f t="shared" si="11"/>
        <v>6.2645829352744622</v>
      </c>
      <c r="V30" s="158">
        <f t="shared" si="12"/>
        <v>5.8851439957096829</v>
      </c>
      <c r="W30" s="158">
        <f t="shared" si="12"/>
        <v>6.1040726178340856</v>
      </c>
    </row>
    <row r="31" spans="1:23" s="101" customFormat="1" ht="17.25" customHeight="1">
      <c r="A31" s="99">
        <v>24</v>
      </c>
      <c r="B31" s="100" t="s">
        <v>36</v>
      </c>
      <c r="C31" s="108">
        <v>9899.25</v>
      </c>
      <c r="D31" s="108">
        <v>11150.19</v>
      </c>
      <c r="E31" s="108">
        <v>12039.48</v>
      </c>
      <c r="F31" s="108">
        <v>16828.18</v>
      </c>
      <c r="G31" s="108">
        <v>18841.009999999998</v>
      </c>
      <c r="H31" s="108">
        <v>22587.56</v>
      </c>
      <c r="I31" s="108">
        <v>28524</v>
      </c>
      <c r="J31" s="107">
        <v>152245</v>
      </c>
      <c r="K31" s="107">
        <v>174039</v>
      </c>
      <c r="L31" s="107">
        <v>197500</v>
      </c>
      <c r="M31" s="107">
        <v>226204</v>
      </c>
      <c r="N31" s="107">
        <v>256430</v>
      </c>
      <c r="O31" s="107">
        <v>286809</v>
      </c>
      <c r="P31" s="107">
        <v>319117</v>
      </c>
      <c r="Q31" s="158">
        <f t="shared" si="7"/>
        <v>6.5021839797694509</v>
      </c>
      <c r="R31" s="158">
        <f t="shared" si="8"/>
        <v>6.4067191836312558</v>
      </c>
      <c r="S31" s="158">
        <f t="shared" si="9"/>
        <v>6.0959392405063291</v>
      </c>
      <c r="T31" s="158">
        <f t="shared" si="10"/>
        <v>7.4393821506251001</v>
      </c>
      <c r="U31" s="158">
        <f t="shared" si="11"/>
        <v>7.3474281480326002</v>
      </c>
      <c r="V31" s="158">
        <f t="shared" si="12"/>
        <v>7.8754711323563766</v>
      </c>
      <c r="W31" s="158">
        <f t="shared" si="12"/>
        <v>8.9384144373380305</v>
      </c>
    </row>
    <row r="32" spans="1:23" s="101" customFormat="1" ht="17.25" customHeight="1">
      <c r="A32" s="99">
        <v>25</v>
      </c>
      <c r="B32" s="100" t="s">
        <v>37</v>
      </c>
      <c r="C32" s="108">
        <v>13274.73</v>
      </c>
      <c r="D32" s="108">
        <v>14943.5</v>
      </c>
      <c r="E32" s="108">
        <v>16414.27</v>
      </c>
      <c r="F32" s="108">
        <v>20758.13</v>
      </c>
      <c r="G32" s="108">
        <v>25377.06</v>
      </c>
      <c r="H32" s="108">
        <v>30502.65</v>
      </c>
      <c r="I32" s="108">
        <v>34053.129999999997</v>
      </c>
      <c r="J32" s="107">
        <v>194822</v>
      </c>
      <c r="K32" s="107">
        <v>230949</v>
      </c>
      <c r="L32" s="107">
        <v>265825</v>
      </c>
      <c r="M32" s="107">
        <v>338348</v>
      </c>
      <c r="N32" s="107">
        <v>403422</v>
      </c>
      <c r="O32" s="107">
        <v>459215</v>
      </c>
      <c r="P32" s="107">
        <v>513688</v>
      </c>
      <c r="Q32" s="158">
        <f t="shared" si="7"/>
        <v>6.8137735984642385</v>
      </c>
      <c r="R32" s="158">
        <f t="shared" si="8"/>
        <v>6.4704761657335599</v>
      </c>
      <c r="S32" s="158">
        <f t="shared" si="9"/>
        <v>6.1748405906141262</v>
      </c>
      <c r="T32" s="158">
        <f t="shared" si="10"/>
        <v>6.1351419248820749</v>
      </c>
      <c r="U32" s="158">
        <f t="shared" si="11"/>
        <v>6.2904501985513939</v>
      </c>
      <c r="V32" s="158">
        <f t="shared" si="12"/>
        <v>6.6423461777163215</v>
      </c>
      <c r="W32" s="158">
        <f t="shared" si="12"/>
        <v>6.629146485804613</v>
      </c>
    </row>
    <row r="33" spans="1:23" s="101" customFormat="1" ht="17.25" customHeight="1">
      <c r="A33" s="99">
        <v>26</v>
      </c>
      <c r="B33" s="100" t="s">
        <v>38</v>
      </c>
      <c r="C33" s="108">
        <v>29619.1</v>
      </c>
      <c r="D33" s="108">
        <v>33684.370000000003</v>
      </c>
      <c r="E33" s="108">
        <v>36546.67</v>
      </c>
      <c r="F33" s="108">
        <v>47782.18</v>
      </c>
      <c r="G33" s="108">
        <v>59517.31</v>
      </c>
      <c r="H33" s="108">
        <v>71460.55</v>
      </c>
      <c r="I33" s="108">
        <v>86065.4</v>
      </c>
      <c r="J33" s="107">
        <v>350819</v>
      </c>
      <c r="K33" s="107">
        <v>401336</v>
      </c>
      <c r="L33" s="107">
        <v>479733</v>
      </c>
      <c r="M33" s="107">
        <v>584896</v>
      </c>
      <c r="N33" s="107">
        <v>665312</v>
      </c>
      <c r="O33" s="107">
        <v>744474</v>
      </c>
      <c r="P33" s="107">
        <v>850319</v>
      </c>
      <c r="Q33" s="158">
        <f t="shared" si="7"/>
        <v>8.4428437456352139</v>
      </c>
      <c r="R33" s="158">
        <f t="shared" si="8"/>
        <v>8.3930596806665747</v>
      </c>
      <c r="S33" s="158">
        <f t="shared" si="9"/>
        <v>7.618127166569737</v>
      </c>
      <c r="T33" s="158">
        <f t="shared" si="10"/>
        <v>8.1693463453331887</v>
      </c>
      <c r="U33" s="158">
        <f t="shared" si="11"/>
        <v>8.9457743134048382</v>
      </c>
      <c r="V33" s="158">
        <f t="shared" si="12"/>
        <v>9.5987972716307084</v>
      </c>
      <c r="W33" s="158">
        <f t="shared" si="12"/>
        <v>10.121542621063389</v>
      </c>
    </row>
    <row r="34" spans="1:23" s="101" customFormat="1" ht="17.25" customHeight="1">
      <c r="A34" s="99">
        <v>27</v>
      </c>
      <c r="B34" s="100" t="s">
        <v>39</v>
      </c>
      <c r="C34" s="108">
        <v>24959.32</v>
      </c>
      <c r="D34" s="108">
        <v>28659</v>
      </c>
      <c r="E34" s="108">
        <v>33877.57</v>
      </c>
      <c r="F34" s="108">
        <v>41354.83</v>
      </c>
      <c r="G34" s="108">
        <v>52613.43</v>
      </c>
      <c r="H34" s="108">
        <v>60472.14</v>
      </c>
      <c r="I34" s="108">
        <v>72193</v>
      </c>
      <c r="J34" s="107">
        <v>383026</v>
      </c>
      <c r="K34" s="107">
        <v>444685</v>
      </c>
      <c r="L34" s="107">
        <v>523394</v>
      </c>
      <c r="M34" s="107">
        <v>600164</v>
      </c>
      <c r="N34" s="107">
        <v>679007</v>
      </c>
      <c r="O34" s="107">
        <v>768930</v>
      </c>
      <c r="P34" s="107">
        <v>886410</v>
      </c>
      <c r="Q34" s="158">
        <f t="shared" si="7"/>
        <v>6.5163513704030533</v>
      </c>
      <c r="R34" s="158">
        <f t="shared" si="8"/>
        <v>6.4447867591666013</v>
      </c>
      <c r="S34" s="158">
        <f t="shared" si="9"/>
        <v>6.4726706840353536</v>
      </c>
      <c r="T34" s="158">
        <f t="shared" si="10"/>
        <v>6.8905882392146154</v>
      </c>
      <c r="U34" s="158">
        <f t="shared" si="11"/>
        <v>7.7485843297639052</v>
      </c>
      <c r="V34" s="158">
        <f t="shared" si="12"/>
        <v>7.8644532012016697</v>
      </c>
      <c r="W34" s="158">
        <f t="shared" si="12"/>
        <v>8.1444252659604484</v>
      </c>
    </row>
    <row r="35" spans="1:23" s="101" customFormat="1" ht="17.25" customHeight="1">
      <c r="A35" s="99">
        <v>28</v>
      </c>
      <c r="B35" s="100" t="s">
        <v>40</v>
      </c>
      <c r="C35" s="108">
        <v>13126.34</v>
      </c>
      <c r="D35" s="108">
        <v>14419.15</v>
      </c>
      <c r="E35" s="108">
        <v>16899.98</v>
      </c>
      <c r="F35" s="108">
        <v>21128.74</v>
      </c>
      <c r="G35" s="108">
        <v>24938.16</v>
      </c>
      <c r="H35" s="108">
        <v>32808.49</v>
      </c>
      <c r="I35" s="108">
        <v>39783.629999999997</v>
      </c>
      <c r="J35" s="107">
        <v>299483</v>
      </c>
      <c r="K35" s="107">
        <v>341942</v>
      </c>
      <c r="L35" s="107">
        <v>398880</v>
      </c>
      <c r="M35" s="107">
        <v>460959</v>
      </c>
      <c r="N35" s="107">
        <v>538209</v>
      </c>
      <c r="O35" s="107">
        <v>620160</v>
      </c>
      <c r="P35" s="107">
        <v>707848</v>
      </c>
      <c r="Q35" s="158">
        <f t="shared" si="7"/>
        <v>4.3830000367299649</v>
      </c>
      <c r="R35" s="158">
        <f t="shared" si="8"/>
        <v>4.216840867749502</v>
      </c>
      <c r="S35" s="158">
        <f t="shared" si="9"/>
        <v>4.2368582029683113</v>
      </c>
      <c r="T35" s="158">
        <f t="shared" si="10"/>
        <v>4.5836484372796713</v>
      </c>
      <c r="U35" s="158">
        <f t="shared" si="11"/>
        <v>4.6335457043639181</v>
      </c>
      <c r="V35" s="158">
        <f t="shared" si="12"/>
        <v>5.2903266898864807</v>
      </c>
      <c r="W35" s="158">
        <f t="shared" si="12"/>
        <v>5.620363411353849</v>
      </c>
    </row>
    <row r="36" spans="1:23" s="162" customFormat="1" ht="17.25" customHeight="1">
      <c r="A36" s="160"/>
      <c r="B36" s="160" t="s">
        <v>190</v>
      </c>
      <c r="C36" s="111">
        <f t="shared" ref="C36:O36" si="13">SUM(C19:C35)</f>
        <v>274770.30000000005</v>
      </c>
      <c r="D36" s="111">
        <f t="shared" si="13"/>
        <v>306894.39</v>
      </c>
      <c r="E36" s="111">
        <f>SUM(E19:E35)</f>
        <v>346147.47</v>
      </c>
      <c r="F36" s="111">
        <f>SUM(F19:F35)</f>
        <v>440687.62</v>
      </c>
      <c r="G36" s="111">
        <f>SUM(G19:G35)</f>
        <v>529526.02</v>
      </c>
      <c r="H36" s="111">
        <f>SUM(H19:H35)</f>
        <v>617979.77</v>
      </c>
      <c r="I36" s="111">
        <f>SUM(I19:I35)</f>
        <v>728168.57000000007</v>
      </c>
      <c r="J36" s="111">
        <f t="shared" si="13"/>
        <v>3944879</v>
      </c>
      <c r="K36" s="111">
        <f t="shared" si="13"/>
        <v>4535440</v>
      </c>
      <c r="L36" s="111">
        <f t="shared" si="13"/>
        <v>5204876</v>
      </c>
      <c r="M36" s="111">
        <f t="shared" si="13"/>
        <v>6231556</v>
      </c>
      <c r="N36" s="111">
        <f t="shared" si="13"/>
        <v>7154201</v>
      </c>
      <c r="O36" s="111">
        <f t="shared" si="13"/>
        <v>8190822</v>
      </c>
      <c r="P36" s="111">
        <f>SUM(P19:P35)</f>
        <v>9397731.1855269298</v>
      </c>
      <c r="Q36" s="161">
        <f t="shared" si="7"/>
        <v>6.9652402519823813</v>
      </c>
      <c r="R36" s="161">
        <f t="shared" si="8"/>
        <v>6.7665847194539008</v>
      </c>
      <c r="S36" s="161">
        <f>+E36/L36*100</f>
        <v>6.6504460432871015</v>
      </c>
      <c r="T36" s="161">
        <f>+F36/M36*100</f>
        <v>7.0718712950665941</v>
      </c>
      <c r="U36" s="161">
        <f>+G36/N36*100</f>
        <v>7.4016094879078747</v>
      </c>
      <c r="V36" s="161">
        <f>+H36/O36*100</f>
        <v>7.5447832952541276</v>
      </c>
      <c r="W36" s="161">
        <f>+I36/P36*100</f>
        <v>7.7483443144386097</v>
      </c>
    </row>
    <row r="37" spans="1:23" s="101" customFormat="1" ht="17.25" customHeight="1">
      <c r="A37" s="100"/>
      <c r="B37" s="116" t="s">
        <v>53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58"/>
      <c r="R37" s="158"/>
      <c r="S37" s="158"/>
      <c r="T37" s="158"/>
      <c r="U37" s="158"/>
      <c r="V37" s="158"/>
      <c r="W37" s="158"/>
    </row>
    <row r="38" spans="1:23" s="101" customFormat="1" ht="17.25" customHeight="1">
      <c r="A38" s="99">
        <v>29</v>
      </c>
      <c r="B38" s="100" t="s">
        <v>43</v>
      </c>
      <c r="C38" s="108">
        <v>11782.8</v>
      </c>
      <c r="D38" s="108">
        <v>12180.7</v>
      </c>
      <c r="E38" s="108">
        <v>13447.86</v>
      </c>
      <c r="F38" s="108">
        <v>16477.75</v>
      </c>
      <c r="G38" s="108">
        <v>19971.669999999998</v>
      </c>
      <c r="H38" s="108">
        <v>23431.52</v>
      </c>
      <c r="I38" s="108">
        <v>30454</v>
      </c>
      <c r="J38" s="107">
        <v>157947</v>
      </c>
      <c r="K38" s="107">
        <v>189533</v>
      </c>
      <c r="L38" s="107">
        <v>217619</v>
      </c>
      <c r="M38" s="107">
        <v>252753</v>
      </c>
      <c r="N38" s="107">
        <v>296957</v>
      </c>
      <c r="O38" s="107">
        <v>348221</v>
      </c>
      <c r="P38" s="107">
        <v>404576</v>
      </c>
      <c r="Q38" s="158">
        <f t="shared" ref="Q38:S40" si="14">+C38/J38*100</f>
        <v>7.4599707496818546</v>
      </c>
      <c r="R38" s="158">
        <f t="shared" si="14"/>
        <v>6.4266908664981832</v>
      </c>
      <c r="S38" s="158">
        <f t="shared" si="14"/>
        <v>6.1795431465083475</v>
      </c>
      <c r="T38" s="158">
        <f t="shared" ref="T38:W40" si="15">+F38/M38*100</f>
        <v>6.5193093652696499</v>
      </c>
      <c r="U38" s="158">
        <f t="shared" si="15"/>
        <v>6.7254417306209309</v>
      </c>
      <c r="V38" s="158">
        <f t="shared" si="15"/>
        <v>6.7289221500139291</v>
      </c>
      <c r="W38" s="158">
        <f t="shared" si="15"/>
        <v>7.5273866961955234</v>
      </c>
    </row>
    <row r="39" spans="1:23" s="101" customFormat="1" ht="17.25" customHeight="1">
      <c r="A39" s="99">
        <v>30</v>
      </c>
      <c r="B39" s="100" t="s">
        <v>44</v>
      </c>
      <c r="C39" s="108">
        <v>653</v>
      </c>
      <c r="D39" s="108">
        <v>725</v>
      </c>
      <c r="E39" s="108">
        <v>868</v>
      </c>
      <c r="F39" s="108">
        <v>1074</v>
      </c>
      <c r="G39" s="108">
        <v>1329</v>
      </c>
      <c r="H39" s="108">
        <v>1971.22</v>
      </c>
      <c r="I39" s="108">
        <v>2000</v>
      </c>
      <c r="J39" s="107">
        <v>9251</v>
      </c>
      <c r="K39" s="107">
        <v>10050</v>
      </c>
      <c r="L39" s="107">
        <v>12304</v>
      </c>
      <c r="M39" s="107">
        <v>13092</v>
      </c>
      <c r="N39" s="107">
        <v>14630</v>
      </c>
      <c r="O39" s="107">
        <v>17192</v>
      </c>
      <c r="P39" s="107">
        <v>21500</v>
      </c>
      <c r="Q39" s="158">
        <f t="shared" si="14"/>
        <v>7.0586963571505787</v>
      </c>
      <c r="R39" s="158">
        <f t="shared" si="14"/>
        <v>7.2139303482587067</v>
      </c>
      <c r="S39" s="158">
        <f t="shared" si="14"/>
        <v>7.0546163849154739</v>
      </c>
      <c r="T39" s="158">
        <f t="shared" si="15"/>
        <v>8.2034830430797427</v>
      </c>
      <c r="U39" s="158">
        <f t="shared" si="15"/>
        <v>9.0840738209159255</v>
      </c>
      <c r="V39" s="158">
        <f t="shared" si="15"/>
        <v>11.465914378780829</v>
      </c>
      <c r="W39" s="158">
        <f t="shared" si="15"/>
        <v>9.3023255813953494</v>
      </c>
    </row>
    <row r="40" spans="1:23" s="159" customFormat="1" ht="17.25" customHeight="1">
      <c r="A40" s="116"/>
      <c r="B40" s="116" t="s">
        <v>54</v>
      </c>
      <c r="C40" s="109">
        <f t="shared" ref="C40:L40" si="16">SUM(C38:C39)</f>
        <v>12435.8</v>
      </c>
      <c r="D40" s="109">
        <f t="shared" si="16"/>
        <v>12905.7</v>
      </c>
      <c r="E40" s="109">
        <f>SUM(E38:E39)</f>
        <v>14315.86</v>
      </c>
      <c r="F40" s="109">
        <f>SUM(F38:F39)</f>
        <v>17551.75</v>
      </c>
      <c r="G40" s="109">
        <f>SUM(G38:G39)</f>
        <v>21300.67</v>
      </c>
      <c r="H40" s="109">
        <f>SUM(H38:H39)</f>
        <v>25402.74</v>
      </c>
      <c r="I40" s="109">
        <f>SUM(I38:I39)</f>
        <v>32454</v>
      </c>
      <c r="J40" s="109">
        <f t="shared" si="16"/>
        <v>167198</v>
      </c>
      <c r="K40" s="109">
        <f t="shared" si="16"/>
        <v>199583</v>
      </c>
      <c r="L40" s="109">
        <f t="shared" si="16"/>
        <v>229923</v>
      </c>
      <c r="M40" s="109">
        <f>SUM(M38:M39)</f>
        <v>265845</v>
      </c>
      <c r="N40" s="109">
        <f>SUM(N38:N39)</f>
        <v>311587</v>
      </c>
      <c r="O40" s="109">
        <f>SUM(O38:O39)</f>
        <v>365413</v>
      </c>
      <c r="P40" s="109">
        <f>SUM(P38:P39)</f>
        <v>426076</v>
      </c>
      <c r="Q40" s="102">
        <f t="shared" si="14"/>
        <v>7.4377683943587831</v>
      </c>
      <c r="R40" s="102">
        <f t="shared" si="14"/>
        <v>6.4663323028514448</v>
      </c>
      <c r="S40" s="102">
        <f t="shared" si="14"/>
        <v>6.226371437394258</v>
      </c>
      <c r="T40" s="102">
        <f t="shared" si="15"/>
        <v>6.6022494310594526</v>
      </c>
      <c r="U40" s="102">
        <f t="shared" si="15"/>
        <v>6.8361870039507417</v>
      </c>
      <c r="V40" s="102">
        <f t="shared" si="15"/>
        <v>6.9517887978807549</v>
      </c>
      <c r="W40" s="102">
        <f t="shared" si="15"/>
        <v>7.6169509664942403</v>
      </c>
    </row>
    <row r="41" spans="1:23">
      <c r="A41" s="96"/>
      <c r="B41" s="96"/>
      <c r="C41" s="113"/>
      <c r="D41" s="113"/>
      <c r="E41" s="108"/>
      <c r="F41" s="108"/>
      <c r="G41" s="108"/>
      <c r="H41" s="108"/>
      <c r="I41" s="108"/>
      <c r="J41" s="113"/>
      <c r="K41" s="113"/>
      <c r="L41" s="113"/>
      <c r="M41" s="108"/>
      <c r="N41" s="108"/>
      <c r="O41" s="108"/>
      <c r="P41" s="108"/>
      <c r="Q41" s="158"/>
      <c r="R41" s="158"/>
      <c r="S41" s="158"/>
      <c r="T41" s="158"/>
      <c r="U41" s="158"/>
      <c r="V41" s="158"/>
      <c r="W41" s="158"/>
    </row>
    <row r="42" spans="1:23" s="112" customFormat="1" ht="11.25">
      <c r="A42" s="110"/>
      <c r="B42" s="110" t="s">
        <v>46</v>
      </c>
      <c r="C42" s="114">
        <f t="shared" ref="C42:L42" si="17">+C17+C36+C40</f>
        <v>299162.59000000003</v>
      </c>
      <c r="D42" s="114">
        <f t="shared" si="17"/>
        <v>333489.05000000005</v>
      </c>
      <c r="E42" s="111">
        <f t="shared" si="17"/>
        <v>375480.64999999997</v>
      </c>
      <c r="F42" s="111">
        <f>+F17+F36+F40</f>
        <v>479721.13</v>
      </c>
      <c r="G42" s="111">
        <f>+G17+G36+G40</f>
        <v>574369.16</v>
      </c>
      <c r="H42" s="111">
        <f>+H17+H36+H40</f>
        <v>671958.21</v>
      </c>
      <c r="I42" s="111">
        <f>+I17+I36+I40</f>
        <v>792905.83000000007</v>
      </c>
      <c r="J42" s="114">
        <f t="shared" si="17"/>
        <v>4347593</v>
      </c>
      <c r="K42" s="114">
        <f t="shared" si="17"/>
        <v>5011438</v>
      </c>
      <c r="L42" s="114">
        <f t="shared" si="17"/>
        <v>5763838</v>
      </c>
      <c r="M42" s="111">
        <f>+M17+M36+M40</f>
        <v>6885743</v>
      </c>
      <c r="N42" s="111">
        <f>+N17+N36+N40</f>
        <v>7907554</v>
      </c>
      <c r="O42" s="111">
        <f>+O17+O36+O40</f>
        <v>9060004</v>
      </c>
      <c r="P42" s="111">
        <f>+P17+P36+P40</f>
        <v>10403785.896576375</v>
      </c>
      <c r="Q42" s="161">
        <f t="shared" ref="Q42:W42" si="18">+C42/J42*100</f>
        <v>6.8811084662248749</v>
      </c>
      <c r="R42" s="161">
        <f t="shared" si="18"/>
        <v>6.6545580330436103</v>
      </c>
      <c r="S42" s="161">
        <f t="shared" si="18"/>
        <v>6.5144205996074138</v>
      </c>
      <c r="T42" s="161">
        <f t="shared" si="18"/>
        <v>6.9668753248560105</v>
      </c>
      <c r="U42" s="161">
        <f t="shared" si="18"/>
        <v>7.2635502710446245</v>
      </c>
      <c r="V42" s="161">
        <f t="shared" si="18"/>
        <v>7.41675401026313</v>
      </c>
      <c r="W42" s="161">
        <f t="shared" si="18"/>
        <v>7.621320141362439</v>
      </c>
    </row>
    <row r="43" spans="1:23" ht="19.5" customHeight="1">
      <c r="B43" s="582" t="s">
        <v>187</v>
      </c>
      <c r="C43" s="582"/>
      <c r="D43" s="582"/>
      <c r="E43" s="582"/>
      <c r="F43" s="582"/>
      <c r="G43" s="582"/>
      <c r="H43" s="582"/>
      <c r="I43" s="582"/>
      <c r="J43" s="582"/>
    </row>
    <row r="45" spans="1:23">
      <c r="S45" s="163"/>
    </row>
  </sheetData>
  <mergeCells count="7">
    <mergeCell ref="B43:J43"/>
    <mergeCell ref="A1:V1"/>
    <mergeCell ref="B2:B3"/>
    <mergeCell ref="A2:A3"/>
    <mergeCell ref="C2:I2"/>
    <mergeCell ref="J2:P2"/>
    <mergeCell ref="Q2:W2"/>
  </mergeCells>
  <phoneticPr fontId="42" type="noConversion"/>
  <printOptions horizontalCentered="1"/>
  <pageMargins left="0.35433070866141736" right="0.15748031496062992" top="0.78740157480314965" bottom="0.39370078740157483" header="0" footer="0"/>
  <pageSetup paperSize="9" scale="68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W4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5" sqref="B5"/>
    </sheetView>
  </sheetViews>
  <sheetFormatPr defaultRowHeight="12.75"/>
  <cols>
    <col min="1" max="1" width="4.85546875" style="25" customWidth="1"/>
    <col min="2" max="2" width="34.7109375" customWidth="1"/>
    <col min="3" max="4" width="11.28515625" customWidth="1"/>
    <col min="5" max="5" width="11.28515625" style="14" customWidth="1"/>
    <col min="6" max="9" width="11.28515625" style="220" customWidth="1"/>
    <col min="10" max="16" width="11.28515625" style="14" customWidth="1"/>
    <col min="17" max="19" width="11.28515625" customWidth="1"/>
    <col min="20" max="21" width="11.28515625" style="14" customWidth="1"/>
    <col min="22" max="22" width="12.140625" style="14" customWidth="1"/>
    <col min="23" max="23" width="9.140625" style="14"/>
  </cols>
  <sheetData>
    <row r="1" spans="1:23" ht="27" customHeight="1">
      <c r="A1" s="596" t="s">
        <v>93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7"/>
      <c r="T1" s="598"/>
      <c r="U1" s="185"/>
    </row>
    <row r="2" spans="1:23" ht="36" customHeight="1">
      <c r="A2" s="599" t="s">
        <v>0</v>
      </c>
      <c r="B2" s="600" t="s">
        <v>1</v>
      </c>
      <c r="C2" s="602" t="s">
        <v>140</v>
      </c>
      <c r="D2" s="603"/>
      <c r="E2" s="603"/>
      <c r="F2" s="603"/>
      <c r="G2" s="603"/>
      <c r="H2" s="603"/>
      <c r="I2" s="604"/>
      <c r="J2" s="602" t="s">
        <v>141</v>
      </c>
      <c r="K2" s="603"/>
      <c r="L2" s="603"/>
      <c r="M2" s="603"/>
      <c r="N2" s="603"/>
      <c r="O2" s="603"/>
      <c r="P2" s="604"/>
      <c r="Q2" s="605" t="s">
        <v>2</v>
      </c>
      <c r="R2" s="605"/>
      <c r="S2" s="605"/>
      <c r="T2" s="605"/>
      <c r="U2" s="605"/>
      <c r="V2" s="605"/>
      <c r="W2" s="605"/>
    </row>
    <row r="3" spans="1:23" ht="21.75" customHeight="1">
      <c r="A3" s="599"/>
      <c r="B3" s="601"/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122</v>
      </c>
      <c r="I3" s="1" t="s">
        <v>139</v>
      </c>
      <c r="J3" s="1" t="s">
        <v>3</v>
      </c>
      <c r="K3" s="1" t="s">
        <v>4</v>
      </c>
      <c r="L3" s="1" t="s">
        <v>5</v>
      </c>
      <c r="M3" s="1" t="s">
        <v>6</v>
      </c>
      <c r="N3" s="1" t="s">
        <v>7</v>
      </c>
      <c r="O3" s="1" t="s">
        <v>122</v>
      </c>
      <c r="P3" s="1" t="s">
        <v>139</v>
      </c>
      <c r="Q3" s="2" t="s">
        <v>3</v>
      </c>
      <c r="R3" s="2" t="s">
        <v>4</v>
      </c>
      <c r="S3" s="1" t="s">
        <v>5</v>
      </c>
      <c r="T3" s="1" t="s">
        <v>6</v>
      </c>
      <c r="U3" s="1" t="s">
        <v>7</v>
      </c>
      <c r="V3" s="1" t="s">
        <v>122</v>
      </c>
      <c r="W3" s="1" t="s">
        <v>139</v>
      </c>
    </row>
    <row r="4" spans="1:23" ht="18" customHeight="1">
      <c r="A4" s="599"/>
      <c r="B4" s="122">
        <v>41834</v>
      </c>
      <c r="C4" s="1" t="s">
        <v>8</v>
      </c>
      <c r="D4" s="1" t="s">
        <v>8</v>
      </c>
      <c r="E4" s="1" t="s">
        <v>8</v>
      </c>
      <c r="F4" s="1" t="s">
        <v>8</v>
      </c>
      <c r="G4" s="1" t="s">
        <v>8</v>
      </c>
      <c r="H4" s="1" t="s">
        <v>9</v>
      </c>
      <c r="I4" s="1" t="s">
        <v>10</v>
      </c>
      <c r="J4" s="1" t="s">
        <v>8</v>
      </c>
      <c r="K4" s="1" t="s">
        <v>8</v>
      </c>
      <c r="L4" s="1" t="s">
        <v>8</v>
      </c>
      <c r="M4" s="1" t="s">
        <v>8</v>
      </c>
      <c r="N4" s="1" t="s">
        <v>8</v>
      </c>
      <c r="O4" s="1" t="s">
        <v>9</v>
      </c>
      <c r="P4" s="1" t="s">
        <v>10</v>
      </c>
      <c r="Q4" s="2" t="s">
        <v>8</v>
      </c>
      <c r="R4" s="2" t="s">
        <v>8</v>
      </c>
      <c r="S4" s="2" t="s">
        <v>8</v>
      </c>
      <c r="T4" s="1" t="s">
        <v>8</v>
      </c>
      <c r="U4" s="1" t="s">
        <v>8</v>
      </c>
      <c r="V4" s="1" t="s">
        <v>9</v>
      </c>
      <c r="W4" s="1" t="s">
        <v>10</v>
      </c>
    </row>
    <row r="5" spans="1:23">
      <c r="A5" s="3"/>
      <c r="B5" s="4" t="s">
        <v>11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7"/>
      <c r="T5" s="189"/>
      <c r="U5" s="189"/>
      <c r="V5" s="19"/>
      <c r="W5" s="19"/>
    </row>
    <row r="6" spans="1:23" ht="18.75" customHeight="1">
      <c r="A6" s="3">
        <v>1</v>
      </c>
      <c r="B6" s="6" t="s">
        <v>12</v>
      </c>
      <c r="C6" s="18">
        <f ca="1">+'SOTR (%GSDP)'!C6</f>
        <v>98.06</v>
      </c>
      <c r="D6" s="18">
        <f ca="1">+'SOTR (%GSDP)'!D6</f>
        <v>136.22999999999999</v>
      </c>
      <c r="E6" s="18">
        <f ca="1">+'SOTR (%GSDP)'!E6</f>
        <v>173.44</v>
      </c>
      <c r="F6" s="18">
        <f ca="1">+'SOTR (%GSDP)'!F6</f>
        <v>214.96</v>
      </c>
      <c r="G6" s="18">
        <f ca="1">+'SOTR (%GSDP)'!G6</f>
        <v>317.64999999999998</v>
      </c>
      <c r="H6" s="18">
        <f ca="1">+'SOTR (%GSDP)'!H6</f>
        <v>316.51</v>
      </c>
      <c r="I6" s="18">
        <f ca="1">+'SOTR (%GSDP)'!I6</f>
        <v>401.76</v>
      </c>
      <c r="J6" s="9">
        <f>(C6/C$42)*100</f>
        <v>3.2778162536966936E-2</v>
      </c>
      <c r="K6" s="9">
        <f t="shared" ref="K6:P6" si="0">+(D6/D$42)*100</f>
        <v>4.0849916961291526E-2</v>
      </c>
      <c r="L6" s="9">
        <f t="shared" si="0"/>
        <v>4.6191461530707377E-2</v>
      </c>
      <c r="M6" s="9">
        <f t="shared" si="0"/>
        <v>4.4809366641823764E-2</v>
      </c>
      <c r="N6" s="9">
        <f t="shared" si="0"/>
        <v>5.530415316866942E-2</v>
      </c>
      <c r="O6" s="9">
        <f t="shared" si="0"/>
        <v>4.710263157585351E-2</v>
      </c>
      <c r="P6" s="9">
        <f t="shared" si="0"/>
        <v>5.0669320970940526E-2</v>
      </c>
      <c r="Q6" s="11">
        <f ca="1">+C6/'SOTR (%GSDP)'!J6*100</f>
        <v>2.0386694386694391</v>
      </c>
      <c r="R6" s="11">
        <f ca="1">+D6/'SOTR (%GSDP)'!K6*100</f>
        <v>2.3954633374362579</v>
      </c>
      <c r="S6" s="11">
        <f ca="1">+E6/'SOTR (%GSDP)'!L6*100</f>
        <v>2.3205780037463204</v>
      </c>
      <c r="T6" s="188">
        <f ca="1">+F6/'SOTR (%GSDP)'!M6*100</f>
        <v>2.3849994452457564</v>
      </c>
      <c r="U6" s="188">
        <f ca="1">+G6/'SOTR (%GSDP)'!N6*100</f>
        <v>2.9913362840192104</v>
      </c>
      <c r="V6" s="188">
        <f ca="1">+H6/'SOTR (%GSDP)'!O6*100</f>
        <v>2.6177321975022743</v>
      </c>
      <c r="W6" s="188">
        <f ca="1">+I6/'SOTR (%GSDP)'!P6*100</f>
        <v>3.0022418173666119</v>
      </c>
    </row>
    <row r="7" spans="1:23" ht="18.75" customHeight="1">
      <c r="A7" s="3">
        <v>2</v>
      </c>
      <c r="B7" s="6" t="s">
        <v>13</v>
      </c>
      <c r="C7" s="18">
        <f ca="1">+'SOTR (%GSDP)'!C7</f>
        <v>3358.72</v>
      </c>
      <c r="D7" s="18">
        <f ca="1">+'SOTR (%GSDP)'!D7</f>
        <v>4149.9799999999996</v>
      </c>
      <c r="E7" s="18">
        <f ca="1">+'SOTR (%GSDP)'!E7</f>
        <v>4028.26</v>
      </c>
      <c r="F7" s="18">
        <f ca="1">+'SOTR (%GSDP)'!F7</f>
        <v>7638.22</v>
      </c>
      <c r="G7" s="18">
        <f ca="1">+'SOTR (%GSDP)'!G7</f>
        <v>7306.13</v>
      </c>
      <c r="H7" s="18">
        <f ca="1">+'SOTR (%GSDP)'!H7</f>
        <v>8250.19</v>
      </c>
      <c r="I7" s="18">
        <f ca="1">+'SOTR (%GSDP)'!I7</f>
        <v>9411.07</v>
      </c>
      <c r="J7" s="9">
        <f>(C7/C$42)*100</f>
        <v>1.1227072208460287</v>
      </c>
      <c r="K7" s="9">
        <f t="shared" ref="K7:L17" si="1">+(D7/D$42)*100</f>
        <v>1.2444126726199853</v>
      </c>
      <c r="L7" s="9">
        <f t="shared" ref="L7:L16" si="2">+(E7/E$42)*100</f>
        <v>1.0728275877864812</v>
      </c>
      <c r="M7" s="9">
        <f t="shared" ref="M7:M17" si="3">+(F7/F$42)*100</f>
        <v>1.592220880493632</v>
      </c>
      <c r="N7" s="9">
        <f t="shared" ref="N7:N17" si="4">+(G7/G$42)*100</f>
        <v>1.2720268616093524</v>
      </c>
      <c r="O7" s="9">
        <f t="shared" ref="O7:P17" si="5">+(H7/H$42)*100</f>
        <v>1.2277831980057214</v>
      </c>
      <c r="P7" s="9">
        <f t="shared" si="5"/>
        <v>1.1869089170399971</v>
      </c>
      <c r="Q7" s="11">
        <f ca="1">+C7/'SOTR (%GSDP)'!J7*100</f>
        <v>4.7255332320333157</v>
      </c>
      <c r="R7" s="11">
        <f ca="1">+D7/'SOTR (%GSDP)'!K7*100</f>
        <v>5.1187557046648733</v>
      </c>
      <c r="S7" s="11">
        <f ca="1">+E7/'SOTR (%GSDP)'!L7*100</f>
        <v>4.1971971867673874</v>
      </c>
      <c r="T7" s="188">
        <f ca="1">+F7/'SOTR (%GSDP)'!M7*100</f>
        <v>6.7782017606133751</v>
      </c>
      <c r="U7" s="188">
        <f ca="1">+G7/'SOTR (%GSDP)'!N7*100</f>
        <v>5.8068113177555238</v>
      </c>
      <c r="V7" s="188">
        <f ca="1">+H7/'SOTR (%GSDP)'!O7*100</f>
        <v>5.8255414098191656</v>
      </c>
      <c r="W7" s="188">
        <f ca="1">+I7/'SOTR (%GSDP)'!P7*100</f>
        <v>5.7860155423849688</v>
      </c>
    </row>
    <row r="8" spans="1:23" ht="18.75" customHeight="1">
      <c r="A8" s="3">
        <v>3</v>
      </c>
      <c r="B8" s="6" t="s">
        <v>14</v>
      </c>
      <c r="C8" s="18">
        <f ca="1">+'SOTR (%GSDP)'!C8</f>
        <v>1958.15</v>
      </c>
      <c r="D8" s="18">
        <f ca="1">+'SOTR (%GSDP)'!D8</f>
        <v>2242.4899999999998</v>
      </c>
      <c r="E8" s="18">
        <f ca="1">+'SOTR (%GSDP)'!E8</f>
        <v>2574.5300000000002</v>
      </c>
      <c r="F8" s="18">
        <f ca="1">+'SOTR (%GSDP)'!F8</f>
        <v>3642.38</v>
      </c>
      <c r="G8" s="18">
        <f ca="1">+'SOTR (%GSDP)'!G8</f>
        <v>4107.92</v>
      </c>
      <c r="H8" s="18">
        <f ca="1">+'SOTR (%GSDP)'!H8</f>
        <v>4626.1499999999996</v>
      </c>
      <c r="I8" s="18">
        <f ca="1">+'SOTR (%GSDP)'!I8</f>
        <v>5139.49</v>
      </c>
      <c r="J8" s="9">
        <f>(C8/C$42)*100</f>
        <v>0.65454373823946366</v>
      </c>
      <c r="K8" s="9">
        <f t="shared" si="1"/>
        <v>0.67243287298338561</v>
      </c>
      <c r="L8" s="9">
        <f t="shared" si="2"/>
        <v>0.68566249685569691</v>
      </c>
      <c r="M8" s="9">
        <f t="shared" si="3"/>
        <v>0.75927028688521603</v>
      </c>
      <c r="N8" s="9">
        <f t="shared" si="4"/>
        <v>0.71520553088191574</v>
      </c>
      <c r="O8" s="9">
        <f t="shared" si="5"/>
        <v>0.68845799205280933</v>
      </c>
      <c r="P8" s="9">
        <f t="shared" si="5"/>
        <v>0.64818416078489427</v>
      </c>
      <c r="Q8" s="11">
        <f ca="1">+C8/'SOTR (%GSDP)'!J8*100</f>
        <v>5.7655389688778964</v>
      </c>
      <c r="R8" s="11">
        <f ca="1">+D8/'SOTR (%GSDP)'!K8*100</f>
        <v>5.4058047875033139</v>
      </c>
      <c r="S8" s="11">
        <f ca="1">+E8/'SOTR (%GSDP)'!L8*100</f>
        <v>5.3425678059308144</v>
      </c>
      <c r="T8" s="188">
        <f ca="1">+F8/'SOTR (%GSDP)'!M8*100</f>
        <v>6.3398663231915346</v>
      </c>
      <c r="U8" s="188">
        <f ca="1">+G8/'SOTR (%GSDP)'!N8*100</f>
        <v>6.3240605323521715</v>
      </c>
      <c r="V8" s="188">
        <f ca="1">+H8/'SOTR (%GSDP)'!O8*100</f>
        <v>6.2761497761497758</v>
      </c>
      <c r="W8" s="188">
        <f ca="1">+I8/'SOTR (%GSDP)'!P8*100</f>
        <v>6.2232729914633405</v>
      </c>
    </row>
    <row r="9" spans="1:23" s="14" customFormat="1" ht="18.75" customHeight="1">
      <c r="A9" s="12">
        <v>4</v>
      </c>
      <c r="B9" s="13" t="s">
        <v>52</v>
      </c>
      <c r="C9" s="18">
        <f ca="1">+'SOTR (%GSDP)'!C9</f>
        <v>2558.8000000000002</v>
      </c>
      <c r="D9" s="18">
        <f ca="1">+'SOTR (%GSDP)'!D9</f>
        <v>2683.46</v>
      </c>
      <c r="E9" s="18">
        <f ca="1">+'SOTR (%GSDP)'!E9</f>
        <v>3027</v>
      </c>
      <c r="F9" s="18">
        <f ca="1">+'SOTR (%GSDP)'!F9</f>
        <v>3482.58</v>
      </c>
      <c r="G9" s="18">
        <f ca="1">+'SOTR (%GSDP)'!G9</f>
        <v>3495.11</v>
      </c>
      <c r="H9" s="18">
        <f ca="1">+'SOTR (%GSDP)'!H9</f>
        <v>5832.43</v>
      </c>
      <c r="I9" s="18">
        <f ca="1">+'SOTR (%GSDP)'!I9</f>
        <v>6700.08</v>
      </c>
      <c r="J9" s="9">
        <f>(C9/C$42)*100</f>
        <v>0.85532084743617176</v>
      </c>
      <c r="K9" s="9">
        <f t="shared" si="1"/>
        <v>0.80466210209900435</v>
      </c>
      <c r="L9" s="9">
        <f t="shared" si="2"/>
        <v>0.80616670925652223</v>
      </c>
      <c r="M9" s="9">
        <f t="shared" si="3"/>
        <v>0.72595926721009763</v>
      </c>
      <c r="N9" s="9">
        <f t="shared" si="4"/>
        <v>0.60851282474845969</v>
      </c>
      <c r="O9" s="9">
        <f t="shared" si="5"/>
        <v>0.86797510815441947</v>
      </c>
      <c r="P9" s="9">
        <f t="shared" si="5"/>
        <v>0.84500324584572684</v>
      </c>
      <c r="Q9" s="11">
        <f ca="1">+C9/'SOTR (%GSDP)'!J9*100</f>
        <v>6.897220949351734</v>
      </c>
      <c r="R9" s="11">
        <f ca="1">+D9/'SOTR (%GSDP)'!K9*100</f>
        <v>6.341628264208909</v>
      </c>
      <c r="S9" s="11">
        <f ca="1">+E9/'SOTR (%GSDP)'!L9*100</f>
        <v>6.2560710964141784</v>
      </c>
      <c r="T9" s="188">
        <f ca="1">+F9/'SOTR (%GSDP)'!M9*100</f>
        <v>5.9969004528782737</v>
      </c>
      <c r="U9" s="188">
        <f ca="1">+G9/'SOTR (%GSDP)'!N9*100</f>
        <v>5.3150291214890739</v>
      </c>
      <c r="V9" s="188">
        <f ca="1">+H9/'SOTR (%GSDP)'!O9*100</f>
        <v>7.7175086670018791</v>
      </c>
      <c r="W9" s="188">
        <f ca="1">+I9/'SOTR (%GSDP)'!P9*100</f>
        <v>7.6731066549090121</v>
      </c>
    </row>
    <row r="10" spans="1:23" s="14" customFormat="1" ht="18.75" customHeight="1">
      <c r="A10" s="12">
        <v>5</v>
      </c>
      <c r="B10" s="13" t="s">
        <v>16</v>
      </c>
      <c r="C10" s="18">
        <f ca="1">+'SOTR (%GSDP)'!C10</f>
        <v>147.44999999999999</v>
      </c>
      <c r="D10" s="18">
        <f ca="1">+'SOTR (%GSDP)'!D10</f>
        <v>170.06</v>
      </c>
      <c r="E10" s="18">
        <f ca="1">+'SOTR (%GSDP)'!E10</f>
        <v>196.03</v>
      </c>
      <c r="F10" s="18">
        <f ca="1">+'SOTR (%GSDP)'!F10</f>
        <v>267.05</v>
      </c>
      <c r="G10" s="18">
        <f ca="1">+'SOTR (%GSDP)'!G10</f>
        <v>368.07</v>
      </c>
      <c r="H10" s="18">
        <f ca="1">+'SOTR (%GSDP)'!H10</f>
        <v>332.84</v>
      </c>
      <c r="I10" s="18">
        <f ca="1">+'SOTR (%GSDP)'!I10</f>
        <v>491.87</v>
      </c>
      <c r="J10" s="9">
        <f t="shared" ref="J10:J17" si="6">+(C10/C$42)*100</f>
        <v>4.9287579707074994E-2</v>
      </c>
      <c r="K10" s="9">
        <f t="shared" si="1"/>
        <v>5.0994178069714728E-2</v>
      </c>
      <c r="L10" s="9">
        <f t="shared" si="2"/>
        <v>5.220775025290917E-2</v>
      </c>
      <c r="M10" s="9">
        <f t="shared" si="3"/>
        <v>5.5667758474595444E-2</v>
      </c>
      <c r="N10" s="9">
        <f t="shared" si="4"/>
        <v>6.4082479637312006E-2</v>
      </c>
      <c r="O10" s="9">
        <f t="shared" si="5"/>
        <v>4.9532842228387983E-2</v>
      </c>
      <c r="P10" s="9">
        <f t="shared" si="5"/>
        <v>6.2033848332279262E-2</v>
      </c>
      <c r="Q10" s="11">
        <f ca="1">+C10/'SOTR (%GSDP)'!J10*100</f>
        <v>2.1738168951791241</v>
      </c>
      <c r="R10" s="11">
        <f ca="1">+D10/'SOTR (%GSDP)'!K10*100</f>
        <v>2.2984187052304366</v>
      </c>
      <c r="S10" s="11">
        <f ca="1">+E10/'SOTR (%GSDP)'!L10*100</f>
        <v>2.3749697116549551</v>
      </c>
      <c r="T10" s="188">
        <f ca="1">+F10/'SOTR (%GSDP)'!M10*100</f>
        <v>2.9227317500273613</v>
      </c>
      <c r="U10" s="188">
        <f ca="1">+G10/'SOTR (%GSDP)'!N10*100</f>
        <v>3.504093678598629</v>
      </c>
      <c r="V10" s="188">
        <f ca="1">+H10/'SOTR (%GSDP)'!O10*100</f>
        <v>2.7776016022698822</v>
      </c>
      <c r="W10" s="188">
        <f ca="1">+I10/'SOTR (%GSDP)'!P10*100</f>
        <v>3.6616199313358679</v>
      </c>
    </row>
    <row r="11" spans="1:23" s="14" customFormat="1" ht="18.75" customHeight="1">
      <c r="A11" s="12">
        <v>6</v>
      </c>
      <c r="B11" s="13" t="s">
        <v>17</v>
      </c>
      <c r="C11" s="18">
        <f ca="1">+'SOTR (%GSDP)'!C11</f>
        <v>319.10000000000002</v>
      </c>
      <c r="D11" s="18">
        <f ca="1">+'SOTR (%GSDP)'!D11</f>
        <v>369.44</v>
      </c>
      <c r="E11" s="18">
        <f ca="1">+'SOTR (%GSDP)'!E11</f>
        <v>444.29</v>
      </c>
      <c r="F11" s="18">
        <f ca="1">+'SOTR (%GSDP)'!F11</f>
        <v>571.45000000000005</v>
      </c>
      <c r="G11" s="18">
        <f ca="1">+'SOTR (%GSDP)'!G11</f>
        <v>697.54</v>
      </c>
      <c r="H11" s="18">
        <f ca="1">+'SOTR (%GSDP)'!H11</f>
        <v>847.73</v>
      </c>
      <c r="I11" s="18">
        <f ca="1">+'SOTR (%GSDP)'!I11</f>
        <v>855.4</v>
      </c>
      <c r="J11" s="9">
        <f t="shared" si="6"/>
        <v>0.10666440613447022</v>
      </c>
      <c r="K11" s="9">
        <f t="shared" si="1"/>
        <v>0.11078024900667652</v>
      </c>
      <c r="L11" s="9">
        <f t="shared" si="2"/>
        <v>0.11832567137614151</v>
      </c>
      <c r="M11" s="9">
        <f t="shared" si="3"/>
        <v>0.11912129032131648</v>
      </c>
      <c r="N11" s="9">
        <f t="shared" si="4"/>
        <v>0.12144454273972508</v>
      </c>
      <c r="O11" s="9">
        <f t="shared" si="5"/>
        <v>0.12615814307857032</v>
      </c>
      <c r="P11" s="9">
        <f t="shared" si="5"/>
        <v>0.10788166357661919</v>
      </c>
      <c r="Q11" s="11">
        <f ca="1">+C11/'SOTR (%GSDP)'!J11*100</f>
        <v>3.277863379558295</v>
      </c>
      <c r="R11" s="11">
        <f ca="1">+D11/'SOTR (%GSDP)'!K11*100</f>
        <v>3.1801669966428512</v>
      </c>
      <c r="S11" s="11">
        <f ca="1">+E11/'SOTR (%GSDP)'!L11*100</f>
        <v>3.4958690691635854</v>
      </c>
      <c r="T11" s="188">
        <f ca="1">+F11/'SOTR (%GSDP)'!M11*100</f>
        <v>3.9186038538023729</v>
      </c>
      <c r="U11" s="188">
        <f ca="1">+G11/'SOTR (%GSDP)'!N11*100</f>
        <v>4.2501827930782357</v>
      </c>
      <c r="V11" s="188">
        <f ca="1">+H11/'SOTR (%GSDP)'!O11*100</f>
        <v>4.6745519713261654</v>
      </c>
      <c r="W11" s="188">
        <f ca="1">+I11/'SOTR (%GSDP)'!P11*100</f>
        <v>4.1109188773548633</v>
      </c>
    </row>
    <row r="12" spans="1:23" s="14" customFormat="1" ht="18.75" customHeight="1">
      <c r="A12" s="12">
        <v>7</v>
      </c>
      <c r="B12" s="13" t="s">
        <v>18</v>
      </c>
      <c r="C12" s="18">
        <f ca="1">+'SOTR (%GSDP)'!C12</f>
        <v>77.52</v>
      </c>
      <c r="D12" s="18">
        <f ca="1">+'SOTR (%GSDP)'!D12</f>
        <v>94.61</v>
      </c>
      <c r="E12" s="18">
        <f ca="1">+'SOTR (%GSDP)'!E12</f>
        <v>107.58</v>
      </c>
      <c r="F12" s="18">
        <f ca="1">+'SOTR (%GSDP)'!F12</f>
        <v>130.43</v>
      </c>
      <c r="G12" s="18">
        <f ca="1">+'SOTR (%GSDP)'!G12</f>
        <v>178.67</v>
      </c>
      <c r="H12" s="18">
        <f ca="1">+'SOTR (%GSDP)'!H12</f>
        <v>222.48</v>
      </c>
      <c r="I12" s="18">
        <f ca="1">+'SOTR (%GSDP)'!I12</f>
        <v>230.36</v>
      </c>
      <c r="J12" s="9">
        <f t="shared" si="6"/>
        <v>2.5912330816496805E-2</v>
      </c>
      <c r="K12" s="9">
        <f t="shared" si="1"/>
        <v>2.8369747072655004E-2</v>
      </c>
      <c r="L12" s="9">
        <f t="shared" si="2"/>
        <v>2.8651276703606433E-2</v>
      </c>
      <c r="M12" s="9">
        <f t="shared" si="3"/>
        <v>2.7188712742338451E-2</v>
      </c>
      <c r="N12" s="9">
        <f t="shared" si="4"/>
        <v>3.1107171561927174E-2</v>
      </c>
      <c r="O12" s="9">
        <f t="shared" si="5"/>
        <v>3.3109201835632013E-2</v>
      </c>
      <c r="P12" s="9">
        <f t="shared" si="5"/>
        <v>2.9052630373521154E-2</v>
      </c>
      <c r="Q12" s="11">
        <f ca="1">+C12/'SOTR (%GSDP)'!J12*100</f>
        <v>2.0314465408805034</v>
      </c>
      <c r="R12" s="11">
        <f ca="1">+D12/'SOTR (%GSDP)'!K12*100</f>
        <v>2.0670745029495303</v>
      </c>
      <c r="S12" s="11">
        <f ca="1">+E12/'SOTR (%GSDP)'!L12*100</f>
        <v>2.0452471482889734</v>
      </c>
      <c r="T12" s="188">
        <f ca="1">+F12/'SOTR (%GSDP)'!M12*100</f>
        <v>2.0417971195992486</v>
      </c>
      <c r="U12" s="190">
        <f ca="1">+G12/'SOTR (%GSDP)'!N12*100</f>
        <v>2.4822172825784938</v>
      </c>
      <c r="V12" s="188">
        <f ca="1">+H12/'SOTR (%GSDP)'!O12*100</f>
        <v>2.7626971315037876</v>
      </c>
      <c r="W12" s="188">
        <f ca="1">+I12/'SOTR (%GSDP)'!P12*100</f>
        <v>2.4595113939430293</v>
      </c>
    </row>
    <row r="13" spans="1:23" s="14" customFormat="1" ht="18.75" customHeight="1">
      <c r="A13" s="12">
        <v>8</v>
      </c>
      <c r="B13" s="13" t="s">
        <v>19</v>
      </c>
      <c r="C13" s="18">
        <f ca="1">+'SOTR (%GSDP)'!C13</f>
        <v>131.36000000000001</v>
      </c>
      <c r="D13" s="18">
        <f ca="1">+'SOTR (%GSDP)'!D13</f>
        <v>156.02000000000001</v>
      </c>
      <c r="E13" s="18">
        <f ca="1">+'SOTR (%GSDP)'!E13</f>
        <v>156.41999999999999</v>
      </c>
      <c r="F13" s="18">
        <f ca="1">+'SOTR (%GSDP)'!F13</f>
        <v>227.33</v>
      </c>
      <c r="G13" s="18">
        <f ca="1">+'SOTR (%GSDP)'!G13</f>
        <v>303.88</v>
      </c>
      <c r="H13" s="18">
        <f ca="1">+'SOTR (%GSDP)'!H13</f>
        <v>292.99</v>
      </c>
      <c r="I13" s="18">
        <f ca="1">+'SOTR (%GSDP)'!I13</f>
        <v>332.14</v>
      </c>
      <c r="J13" s="9">
        <f t="shared" si="6"/>
        <v>4.3909233437242269E-2</v>
      </c>
      <c r="K13" s="9">
        <f t="shared" si="1"/>
        <v>4.6784144786762863E-2</v>
      </c>
      <c r="L13" s="9">
        <f t="shared" si="2"/>
        <v>4.1658604777636346E-2</v>
      </c>
      <c r="M13" s="9">
        <f t="shared" si="3"/>
        <v>4.7387948077250636E-2</v>
      </c>
      <c r="N13" s="9">
        <f t="shared" si="4"/>
        <v>5.290674032707466E-2</v>
      </c>
      <c r="O13" s="9">
        <f t="shared" si="5"/>
        <v>4.3602413906067172E-2</v>
      </c>
      <c r="P13" s="9">
        <f t="shared" si="5"/>
        <v>4.1888959247531325E-2</v>
      </c>
      <c r="Q13" s="11">
        <f ca="1">+C13/'SOTR (%GSDP)'!J13*100</f>
        <v>1.6267492260061922</v>
      </c>
      <c r="R13" s="11">
        <f ca="1">+D13/'SOTR (%GSDP)'!K13*100</f>
        <v>1.6534548537515896</v>
      </c>
      <c r="S13" s="11">
        <f ca="1">+E13/'SOTR (%GSDP)'!L13*100</f>
        <v>1.4858934169278997</v>
      </c>
      <c r="T13" s="188">
        <f ca="1">+F13/'SOTR (%GSDP)'!M13*100</f>
        <v>1.9332426226719959</v>
      </c>
      <c r="U13" s="188">
        <f ca="1">+G13/'SOTR (%GSDP)'!N13*100</f>
        <v>2.3015981216390213</v>
      </c>
      <c r="V13" s="188">
        <f ca="1">+H13/'SOTR (%GSDP)'!O13*100</f>
        <v>1.9753910463861921</v>
      </c>
      <c r="W13" s="188">
        <f ca="1">+I13/'SOTR (%GSDP)'!P13*100</f>
        <v>1.9884803316926436</v>
      </c>
    </row>
    <row r="14" spans="1:23" s="14" customFormat="1" ht="18.75" customHeight="1">
      <c r="A14" s="12">
        <v>9</v>
      </c>
      <c r="B14" s="13" t="s">
        <v>20</v>
      </c>
      <c r="C14" s="18">
        <f ca="1">+'SOTR (%GSDP)'!C14</f>
        <v>197.86</v>
      </c>
      <c r="D14" s="18">
        <f ca="1">+'SOTR (%GSDP)'!D14</f>
        <v>199.19</v>
      </c>
      <c r="E14" s="18">
        <f ca="1">+'SOTR (%GSDP)'!E14</f>
        <v>223.65</v>
      </c>
      <c r="F14" s="18">
        <f ca="1">+'SOTR (%GSDP)'!F14</f>
        <v>279.54000000000002</v>
      </c>
      <c r="G14" s="18">
        <f ca="1">+'SOTR (%GSDP)'!G14</f>
        <v>293.92</v>
      </c>
      <c r="H14" s="18">
        <f ca="1">+'SOTR (%GSDP)'!H14</f>
        <v>435.48</v>
      </c>
      <c r="I14" s="18">
        <f ca="1">+'SOTR (%GSDP)'!I14</f>
        <v>425.67</v>
      </c>
      <c r="J14" s="9">
        <f t="shared" si="6"/>
        <v>6.6137948598452775E-2</v>
      </c>
      <c r="K14" s="9">
        <f t="shared" si="1"/>
        <v>5.9729097552078537E-2</v>
      </c>
      <c r="L14" s="9">
        <f t="shared" si="2"/>
        <v>5.956365527757556E-2</v>
      </c>
      <c r="M14" s="9">
        <f t="shared" si="3"/>
        <v>5.8271354442944803E-2</v>
      </c>
      <c r="N14" s="9">
        <f t="shared" si="4"/>
        <v>5.1172663936204378E-2</v>
      </c>
      <c r="O14" s="9">
        <f t="shared" si="5"/>
        <v>6.4807601651299118E-2</v>
      </c>
      <c r="P14" s="9">
        <f t="shared" si="5"/>
        <v>5.368481147376606E-2</v>
      </c>
      <c r="Q14" s="11">
        <f ca="1">+C14/'SOTR (%GSDP)'!J14*100</f>
        <v>7.8954509177972865</v>
      </c>
      <c r="R14" s="11">
        <f ca="1">+D14/'SOTR (%GSDP)'!K14*100</f>
        <v>6.1687829049241252</v>
      </c>
      <c r="S14" s="11">
        <f ca="1">+E14/'SOTR (%GSDP)'!L14*100</f>
        <v>3.6466655796510676</v>
      </c>
      <c r="T14" s="188">
        <f ca="1">+F14/'SOTR (%GSDP)'!M14*100</f>
        <v>3.7714516999460339</v>
      </c>
      <c r="U14" s="188">
        <f ca="1">+G14/'SOTR (%GSDP)'!N14*100</f>
        <v>3.4113277623026925</v>
      </c>
      <c r="V14" s="188">
        <f ca="1">+H14/'SOTR (%GSDP)'!O14*100</f>
        <v>4.3736065079843334</v>
      </c>
      <c r="W14" s="188">
        <f ca="1">+I14/'SOTR (%GSDP)'!P14*100</f>
        <v>3.2097191539707617</v>
      </c>
    </row>
    <row r="15" spans="1:23" s="14" customFormat="1" ht="18.75" customHeight="1">
      <c r="A15" s="12">
        <v>10</v>
      </c>
      <c r="B15" s="13" t="s">
        <v>21</v>
      </c>
      <c r="C15" s="18">
        <f ca="1">+'SOTR (%GSDP)'!C15</f>
        <v>370.7</v>
      </c>
      <c r="D15" s="18">
        <f ca="1">+'SOTR (%GSDP)'!D15</f>
        <v>442.5</v>
      </c>
      <c r="E15" s="18">
        <f ca="1">+'SOTR (%GSDP)'!E15</f>
        <v>527.01</v>
      </c>
      <c r="F15" s="18">
        <f ca="1">+'SOTR (%GSDP)'!F15</f>
        <v>622.34</v>
      </c>
      <c r="G15" s="18">
        <f ca="1">+'SOTR (%GSDP)'!G15</f>
        <v>858.02</v>
      </c>
      <c r="H15" s="18">
        <f ca="1">+'SOTR (%GSDP)'!H15</f>
        <v>1004.65</v>
      </c>
      <c r="I15" s="18">
        <f ca="1">+'SOTR (%GSDP)'!I15</f>
        <v>1184</v>
      </c>
      <c r="J15" s="9">
        <f t="shared" si="6"/>
        <v>0.12391255203399595</v>
      </c>
      <c r="K15" s="9">
        <f t="shared" si="1"/>
        <v>0.13268801479388903</v>
      </c>
      <c r="L15" s="9">
        <f t="shared" si="2"/>
        <v>0.1403561009069309</v>
      </c>
      <c r="M15" s="9">
        <f t="shared" si="3"/>
        <v>0.12972953682486324</v>
      </c>
      <c r="N15" s="9">
        <f t="shared" si="4"/>
        <v>0.14938476153559499</v>
      </c>
      <c r="O15" s="9">
        <f t="shared" si="5"/>
        <v>0.14951078579722987</v>
      </c>
      <c r="P15" s="9">
        <f t="shared" si="5"/>
        <v>0.14932416375346869</v>
      </c>
      <c r="Q15" s="11">
        <f ca="1">+C15/'SOTR (%GSDP)'!J15*100</f>
        <v>3.1423243197423076</v>
      </c>
      <c r="R15" s="11">
        <f ca="1">+D15/'SOTR (%GSDP)'!K15*100</f>
        <v>3.2601488248729096</v>
      </c>
      <c r="S15" s="11">
        <f ca="1">+E15/'SOTR (%GSDP)'!L15*100</f>
        <v>3.4214763357787441</v>
      </c>
      <c r="T15" s="188">
        <f ca="1">+F15/'SOTR (%GSDP)'!M15*100</f>
        <v>3.4829863443026641</v>
      </c>
      <c r="U15" s="188">
        <f ca="1">+G15/'SOTR (%GSDP)'!N15*100</f>
        <v>4.0893146506529403</v>
      </c>
      <c r="V15" s="188">
        <f ca="1">+H15/'SOTR (%GSDP)'!O15*100</f>
        <v>4.2114860616223018</v>
      </c>
      <c r="W15" s="188">
        <f ca="1">+I15/'SOTR (%GSDP)'!P15*100</f>
        <v>4.3055513085926691</v>
      </c>
    </row>
    <row r="16" spans="1:23" s="14" customFormat="1" ht="18.75" customHeight="1">
      <c r="A16" s="12">
        <v>11</v>
      </c>
      <c r="B16" s="13" t="s">
        <v>22</v>
      </c>
      <c r="C16" s="18">
        <f ca="1">+'SOTR (%GSDP)'!C16</f>
        <v>2738.77</v>
      </c>
      <c r="D16" s="18">
        <f ca="1">+'SOTR (%GSDP)'!D16</f>
        <v>3044.98</v>
      </c>
      <c r="E16" s="18">
        <f ca="1">+'SOTR (%GSDP)'!E16</f>
        <v>3559.11</v>
      </c>
      <c r="F16" s="18">
        <f ca="1">+'SOTR (%GSDP)'!F16</f>
        <v>4405.4799999999996</v>
      </c>
      <c r="G16" s="18">
        <f ca="1">+'SOTR (%GSDP)'!G16</f>
        <v>5615.56</v>
      </c>
      <c r="H16" s="18">
        <f ca="1">+'SOTR (%GSDP)'!H16</f>
        <v>6414.25</v>
      </c>
      <c r="I16" s="18">
        <f ca="1">+'SOTR (%GSDP)'!I16</f>
        <v>7111.42</v>
      </c>
      <c r="J16" s="9">
        <f t="shared" si="6"/>
        <v>0.91547877025666868</v>
      </c>
      <c r="K16" s="9">
        <f t="shared" si="1"/>
        <v>0.91306746053581056</v>
      </c>
      <c r="L16" s="9">
        <f t="shared" si="2"/>
        <v>0.94788106923752269</v>
      </c>
      <c r="M16" s="9">
        <f t="shared" si="3"/>
        <v>0.9183418708281621</v>
      </c>
      <c r="N16" s="9">
        <f t="shared" si="4"/>
        <v>0.97769176882686393</v>
      </c>
      <c r="O16" s="9">
        <f t="shared" si="5"/>
        <v>0.95456084984808809</v>
      </c>
      <c r="P16" s="9">
        <f t="shared" si="5"/>
        <v>0.89688078091190226</v>
      </c>
      <c r="Q16" s="11">
        <f ca="1">+C16/'SOTR (%GSDP)'!J16*100</f>
        <v>5.9725444870900208</v>
      </c>
      <c r="R16" s="11">
        <f ca="1">+D16/'SOTR (%GSDP)'!K16*100</f>
        <v>5.4350379294957607</v>
      </c>
      <c r="S16" s="11">
        <f ca="1">+E16/'SOTR (%GSDP)'!L16*100</f>
        <v>5.0319666336773654</v>
      </c>
      <c r="T16" s="188">
        <f ca="1">+F16/'SOTR (%GSDP)'!M16*100</f>
        <v>5.2465552763519865</v>
      </c>
      <c r="U16" s="188">
        <f ca="1">+G16/'SOTR (%GSDP)'!N16*100</f>
        <v>5.7479937766131677</v>
      </c>
      <c r="V16" s="188">
        <f ca="1">+H16/'SOTR (%GSDP)'!O16*100</f>
        <v>5.6286087856929745</v>
      </c>
      <c r="W16" s="188">
        <f ca="1">+I16/'SOTR (%GSDP)'!P16*100</f>
        <v>5.3481788988410832</v>
      </c>
    </row>
    <row r="17" spans="1:23" s="17" customFormat="1" ht="18.75" customHeight="1">
      <c r="A17" s="15"/>
      <c r="B17" s="5" t="s">
        <v>23</v>
      </c>
      <c r="C17" s="66">
        <f t="shared" ref="C17:I17" si="7">SUM(C6:C16)</f>
        <v>11956.490000000003</v>
      </c>
      <c r="D17" s="66">
        <f t="shared" si="7"/>
        <v>13688.960000000001</v>
      </c>
      <c r="E17" s="66">
        <f t="shared" si="7"/>
        <v>15017.320000000002</v>
      </c>
      <c r="F17" s="66">
        <f t="shared" si="7"/>
        <v>21481.760000000002</v>
      </c>
      <c r="G17" s="66">
        <f t="shared" si="7"/>
        <v>23542.47</v>
      </c>
      <c r="H17" s="66">
        <f t="shared" si="7"/>
        <v>28575.7</v>
      </c>
      <c r="I17" s="66">
        <f t="shared" si="7"/>
        <v>32283.260000000002</v>
      </c>
      <c r="J17" s="16">
        <f t="shared" si="6"/>
        <v>3.9966527900430338</v>
      </c>
      <c r="K17" s="16">
        <f t="shared" si="1"/>
        <v>4.1047704564812548</v>
      </c>
      <c r="L17" s="16">
        <f t="shared" si="1"/>
        <v>3.9994923839617309</v>
      </c>
      <c r="M17" s="16">
        <f t="shared" si="3"/>
        <v>4.477968272942241</v>
      </c>
      <c r="N17" s="16">
        <f t="shared" si="4"/>
        <v>4.0988394989730992</v>
      </c>
      <c r="O17" s="16">
        <f t="shared" si="5"/>
        <v>4.2526007681340783</v>
      </c>
      <c r="P17" s="16">
        <f t="shared" si="5"/>
        <v>4.0715125023106467</v>
      </c>
      <c r="Q17" s="155">
        <f ca="1">+C17/'SOTR (%GSDP)'!J17*100</f>
        <v>5.076720902189237</v>
      </c>
      <c r="R17" s="155">
        <f ca="1">+D17/'SOTR (%GSDP)'!K17*100</f>
        <v>4.9523216902121812</v>
      </c>
      <c r="S17" s="155">
        <f ca="1">+E17/'SOTR (%GSDP)'!L17*100</f>
        <v>4.5639939338497877</v>
      </c>
      <c r="T17" s="191">
        <f ca="1">+F17/'SOTR (%GSDP)'!M17*100</f>
        <v>5.5316602376255988</v>
      </c>
      <c r="U17" s="191">
        <f ca="1">+G17/'SOTR (%GSDP)'!N17*100</f>
        <v>5.3291720050886671</v>
      </c>
      <c r="V17" s="191">
        <f ca="1">+H17/'SOTR (%GSDP)'!O17*100</f>
        <v>5.6723815875927261</v>
      </c>
      <c r="W17" s="191">
        <f ca="1">+I17/'SOTR (%GSDP)'!P17*100</f>
        <v>5.5662836212703253</v>
      </c>
    </row>
    <row r="18" spans="1:23" s="14" customFormat="1" ht="18.75" customHeight="1">
      <c r="A18" s="12"/>
      <c r="B18" s="5" t="s">
        <v>189</v>
      </c>
      <c r="C18" s="18"/>
      <c r="D18" s="18"/>
      <c r="E18" s="18"/>
      <c r="F18" s="18"/>
      <c r="G18" s="18"/>
      <c r="H18" s="18"/>
      <c r="I18" s="18"/>
      <c r="J18" s="9"/>
      <c r="K18" s="9"/>
      <c r="L18" s="9"/>
      <c r="M18" s="9"/>
      <c r="N18" s="9"/>
      <c r="O18" s="9"/>
      <c r="P18" s="9"/>
      <c r="Q18" s="11"/>
      <c r="R18" s="11"/>
      <c r="S18" s="11"/>
      <c r="T18" s="188"/>
      <c r="U18" s="188"/>
      <c r="V18" s="188"/>
      <c r="W18" s="188"/>
    </row>
    <row r="19" spans="1:23" ht="18.75" customHeight="1">
      <c r="A19" s="3">
        <v>12</v>
      </c>
      <c r="B19" s="6" t="s">
        <v>25</v>
      </c>
      <c r="C19" s="18">
        <f ca="1">+'SOTR (%GSDP)'!C19</f>
        <v>28794</v>
      </c>
      <c r="D19" s="18">
        <f ca="1">+'SOTR (%GSDP)'!D19</f>
        <v>33357.839999999997</v>
      </c>
      <c r="E19" s="18">
        <f ca="1">+'SOTR (%GSDP)'!E19</f>
        <v>35175.71</v>
      </c>
      <c r="F19" s="18">
        <f ca="1">+'SOTR (%GSDP)'!F19</f>
        <v>45139.55</v>
      </c>
      <c r="G19" s="18">
        <f ca="1">+'SOTR (%GSDP)'!G19</f>
        <v>53283.41</v>
      </c>
      <c r="H19" s="18">
        <f ca="1">+'SOTR (%GSDP)'!H19</f>
        <v>59875.06</v>
      </c>
      <c r="I19" s="18">
        <v>72442.94</v>
      </c>
      <c r="J19" s="9">
        <f t="shared" ref="J19:L34" si="8">+(C19/C$42)*100</f>
        <v>9.6248665316074433</v>
      </c>
      <c r="K19" s="9">
        <f t="shared" si="8"/>
        <v>10.002679248389112</v>
      </c>
      <c r="L19" s="9">
        <f t="shared" si="8"/>
        <v>9.368181822418812</v>
      </c>
      <c r="M19" s="9">
        <f>+(F19/F$42)*100</f>
        <v>9.4095396631788972</v>
      </c>
      <c r="N19" s="9">
        <f>+(G19/G$42)*100</f>
        <v>9.276857761652801</v>
      </c>
      <c r="O19" s="9">
        <f>+(H19/H$42)*100</f>
        <v>8.9105332904556676</v>
      </c>
      <c r="P19" s="9">
        <f>+(I19/I$42)*100</f>
        <v>9.1363863474178277</v>
      </c>
      <c r="Q19" s="11">
        <f ca="1">+C19/'SOTR (%GSDP)'!J19*100</f>
        <v>7.8928108373330987</v>
      </c>
      <c r="R19" s="11">
        <f ca="1">+D19/'SOTR (%GSDP)'!K19*100</f>
        <v>7.8164423043126776</v>
      </c>
      <c r="S19" s="11">
        <f ca="1">+E19/'SOTR (%GSDP)'!L19*100</f>
        <v>7.3769144462969365</v>
      </c>
      <c r="T19" s="188">
        <f ca="1">+F19/'SOTR (%GSDP)'!M19*100</f>
        <v>7.7325262692672698</v>
      </c>
      <c r="U19" s="188">
        <f ca="1">+G19/'SOTR (%GSDP)'!N19*100</f>
        <v>8.0416621389935283</v>
      </c>
      <c r="V19" s="188">
        <f ca="1">+H19/'SOTR (%GSDP)'!O19*100</f>
        <v>7.936684212409979</v>
      </c>
      <c r="W19" s="188">
        <f ca="1">+I19/'SOTR (%GSDP)'!P19*100</f>
        <v>8.44949636327161</v>
      </c>
    </row>
    <row r="20" spans="1:23" ht="18.75" customHeight="1">
      <c r="A20" s="3">
        <v>13</v>
      </c>
      <c r="B20" s="6" t="s">
        <v>26</v>
      </c>
      <c r="C20" s="18">
        <f ca="1">+'SOTR (%GSDP)'!C20</f>
        <v>5086.17</v>
      </c>
      <c r="D20" s="18">
        <f ca="1">+'SOTR (%GSDP)'!D20</f>
        <v>6172.74</v>
      </c>
      <c r="E20" s="18">
        <f ca="1">+'SOTR (%GSDP)'!E20</f>
        <v>8089.67</v>
      </c>
      <c r="F20" s="18">
        <f ca="1">+'SOTR (%GSDP)'!F20</f>
        <v>9869.85</v>
      </c>
      <c r="G20" s="18">
        <f ca="1">+'SOTR (%GSDP)'!G20</f>
        <v>12612.1</v>
      </c>
      <c r="H20" s="18">
        <f ca="1">+'SOTR (%GSDP)'!H20</f>
        <v>16253.08</v>
      </c>
      <c r="I20" s="18">
        <v>20962.7</v>
      </c>
      <c r="J20" s="9">
        <f t="shared" si="8"/>
        <v>1.700135702127729</v>
      </c>
      <c r="K20" s="9">
        <f t="shared" si="8"/>
        <v>1.8509573252854925</v>
      </c>
      <c r="L20" s="9">
        <f t="shared" ref="L20:L35" si="9">+(E20/E$42)*100</f>
        <v>2.1544838595544138</v>
      </c>
      <c r="M20" s="9">
        <f t="shared" ref="M20:M36" si="10">+(F20/F$42)*100</f>
        <v>2.0574140647088028</v>
      </c>
      <c r="N20" s="9">
        <f t="shared" ref="N20:N36" si="11">+(G20/G$42)*100</f>
        <v>2.1958177559533314</v>
      </c>
      <c r="O20" s="9">
        <f t="shared" ref="O20:P36" si="12">+(H20/H$42)*100</f>
        <v>2.4187635120940039</v>
      </c>
      <c r="P20" s="9">
        <f t="shared" si="12"/>
        <v>2.6437817968875321</v>
      </c>
      <c r="Q20" s="11">
        <f ca="1">+C20/'SOTR (%GSDP)'!J20*100</f>
        <v>4.4741115411681918</v>
      </c>
      <c r="R20" s="11">
        <f ca="1">+D20/'SOTR (%GSDP)'!K20*100</f>
        <v>4.3384758116095838</v>
      </c>
      <c r="S20" s="11">
        <f ca="1">+E20/'SOTR (%GSDP)'!L20*100</f>
        <v>4.96530284058825</v>
      </c>
      <c r="T20" s="188">
        <f ca="1">+F20/'SOTR (%GSDP)'!M20*100</f>
        <v>4.8313173983914943</v>
      </c>
      <c r="U20" s="188">
        <f ca="1">+G20/'SOTR (%GSDP)'!N20*100</f>
        <v>5.0995479504120205</v>
      </c>
      <c r="V20" s="188">
        <f ca="1">+H20/'SOTR (%GSDP)'!O20*100</f>
        <v>5.1762225513145115</v>
      </c>
      <c r="W20" s="188">
        <f ca="1">+I20/'SOTR (%GSDP)'!P20*100</f>
        <v>5.6911741150088107</v>
      </c>
    </row>
    <row r="21" spans="1:23" ht="18.75" customHeight="1">
      <c r="A21" s="3">
        <v>14</v>
      </c>
      <c r="B21" s="6" t="s">
        <v>27</v>
      </c>
      <c r="C21" s="18">
        <f ca="1">+'SOTR (%GSDP)'!C21</f>
        <v>5618.08</v>
      </c>
      <c r="D21" s="18">
        <f ca="1">+'SOTR (%GSDP)'!D21</f>
        <v>6593.72</v>
      </c>
      <c r="E21" s="18">
        <f ca="1">+'SOTR (%GSDP)'!E21</f>
        <v>7123.26</v>
      </c>
      <c r="F21" s="18">
        <f ca="1">+'SOTR (%GSDP)'!F21</f>
        <v>9005.14</v>
      </c>
      <c r="G21" s="18">
        <f ca="1">+'SOTR (%GSDP)'!G21</f>
        <v>10712.26</v>
      </c>
      <c r="H21" s="18">
        <f ca="1">+'SOTR (%GSDP)'!H21</f>
        <v>13034.18</v>
      </c>
      <c r="I21" s="18">
        <v>15300.3</v>
      </c>
      <c r="J21" s="9">
        <f t="shared" si="8"/>
        <v>1.8779353394420069</v>
      </c>
      <c r="K21" s="9">
        <f t="shared" si="8"/>
        <v>1.9771923545915524</v>
      </c>
      <c r="L21" s="9">
        <f t="shared" si="9"/>
        <v>1.8971044180305965</v>
      </c>
      <c r="M21" s="9">
        <f t="shared" si="10"/>
        <v>1.8771614250137365</v>
      </c>
      <c r="N21" s="9">
        <f t="shared" si="11"/>
        <v>1.865047907516483</v>
      </c>
      <c r="O21" s="9">
        <f t="shared" si="12"/>
        <v>1.9397307460533895</v>
      </c>
      <c r="P21" s="9">
        <f t="shared" si="12"/>
        <v>1.9296490732070921</v>
      </c>
      <c r="Q21" s="11">
        <f ca="1">+C21/'SOTR (%GSDP)'!J21*100</f>
        <v>7.0002865865055135</v>
      </c>
      <c r="R21" s="11">
        <f ca="1">+D21/'SOTR (%GSDP)'!K21*100</f>
        <v>6.7996122592088444</v>
      </c>
      <c r="S21" s="11">
        <f ca="1">+E21/'SOTR (%GSDP)'!L21*100</f>
        <v>7.1688539108731533</v>
      </c>
      <c r="T21" s="188">
        <f ca="1">+F21/'SOTR (%GSDP)'!M21*100</f>
        <v>7.5407301959470781</v>
      </c>
      <c r="U21" s="188">
        <f ca="1">+G21/'SOTR (%GSDP)'!N21*100</f>
        <v>8.0620898308146192</v>
      </c>
      <c r="V21" s="188">
        <f ca="1">+H21/'SOTR (%GSDP)'!O21*100</f>
        <v>8.4846342622427926</v>
      </c>
      <c r="W21" s="188">
        <f ca="1">+I21/'SOTR (%GSDP)'!P21*100</f>
        <v>8.6952790675206426</v>
      </c>
    </row>
    <row r="22" spans="1:23" s="20" customFormat="1" ht="18.75" customHeight="1">
      <c r="A22" s="3">
        <v>15</v>
      </c>
      <c r="B22" s="6" t="s">
        <v>28</v>
      </c>
      <c r="C22" s="18">
        <f ca="1">+'SOTR (%GSDP)'!C22</f>
        <v>1358.92</v>
      </c>
      <c r="D22" s="18">
        <f ca="1">+'SOTR (%GSDP)'!D22</f>
        <v>1680.12</v>
      </c>
      <c r="E22" s="18">
        <f ca="1">+'SOTR (%GSDP)'!E22</f>
        <v>1955.03</v>
      </c>
      <c r="F22" s="18">
        <f ca="1">+'SOTR (%GSDP)'!F22</f>
        <v>2140</v>
      </c>
      <c r="G22" s="18">
        <f ca="1">+'SOTR (%GSDP)'!G22</f>
        <v>2530</v>
      </c>
      <c r="H22" s="18">
        <f ca="1">+'SOTR (%GSDP)'!H22</f>
        <v>3229.9999999999995</v>
      </c>
      <c r="I22" s="18">
        <v>3816.96</v>
      </c>
      <c r="J22" s="9">
        <f t="shared" si="8"/>
        <v>0.45424128732138597</v>
      </c>
      <c r="K22" s="9">
        <f t="shared" si="8"/>
        <v>0.50380064952657355</v>
      </c>
      <c r="L22" s="9">
        <f t="shared" si="9"/>
        <v>0.52067396815255329</v>
      </c>
      <c r="M22" s="9">
        <f t="shared" si="10"/>
        <v>0.44609250378443821</v>
      </c>
      <c r="N22" s="9">
        <f t="shared" si="11"/>
        <v>0.44048325992990289</v>
      </c>
      <c r="O22" s="9">
        <f t="shared" si="12"/>
        <v>0.48068465448171244</v>
      </c>
      <c r="P22" s="9">
        <f t="shared" si="12"/>
        <v>0.48138881763550667</v>
      </c>
      <c r="Q22" s="11">
        <f ca="1">+C22/'SOTR (%GSDP)'!J22*100</f>
        <v>6.945668285203169</v>
      </c>
      <c r="R22" s="11">
        <f ca="1">+D22/'SOTR (%GSDP)'!K22*100</f>
        <v>6.6110018100259698</v>
      </c>
      <c r="S22" s="11">
        <f ca="1">+E22/'SOTR (%GSDP)'!L22*100</f>
        <v>6.7123188903385298</v>
      </c>
      <c r="T22" s="188">
        <f ca="1">+F22/'SOTR (%GSDP)'!M22*100</f>
        <v>6.3680999851212619</v>
      </c>
      <c r="U22" s="188">
        <f ca="1">+G22/'SOTR (%GSDP)'!N22*100</f>
        <v>7.0229007633587788</v>
      </c>
      <c r="V22" s="188">
        <f ca="1">+H22/'SOTR (%GSDP)'!O22*100</f>
        <v>9.2378092378092376</v>
      </c>
      <c r="W22" s="188">
        <f ca="1">+I22/'SOTR (%GSDP)'!P22*100</f>
        <v>9.7117794027452433</v>
      </c>
    </row>
    <row r="23" spans="1:23" ht="18.75" customHeight="1">
      <c r="A23" s="3">
        <v>16</v>
      </c>
      <c r="B23" s="6" t="s">
        <v>29</v>
      </c>
      <c r="C23" s="18">
        <f ca="1">+'SOTR (%GSDP)'!C23</f>
        <v>21885.01</v>
      </c>
      <c r="D23" s="18">
        <f ca="1">+'SOTR (%GSDP)'!D23</f>
        <v>23556.7</v>
      </c>
      <c r="E23" s="18">
        <f ca="1">+'SOTR (%GSDP)'!E23</f>
        <v>26740.25</v>
      </c>
      <c r="F23" s="18">
        <f ca="1">+'SOTR (%GSDP)'!F23</f>
        <v>36340</v>
      </c>
      <c r="G23" s="18">
        <f ca="1">+'SOTR (%GSDP)'!G23</f>
        <v>41500</v>
      </c>
      <c r="H23" s="18">
        <f ca="1">+'SOTR (%GSDP)'!H23</f>
        <v>51229.999999999993</v>
      </c>
      <c r="I23" s="18">
        <v>60207.81</v>
      </c>
      <c r="J23" s="9">
        <f t="shared" si="8"/>
        <v>7.3154233622592972</v>
      </c>
      <c r="K23" s="9">
        <f t="shared" si="8"/>
        <v>7.0637101877857749</v>
      </c>
      <c r="L23" s="9">
        <f t="shared" si="9"/>
        <v>7.1216053343894021</v>
      </c>
      <c r="M23" s="9">
        <f t="shared" si="10"/>
        <v>7.5752343866946195</v>
      </c>
      <c r="N23" s="9">
        <f t="shared" si="11"/>
        <v>7.2253182952928734</v>
      </c>
      <c r="O23" s="9">
        <f t="shared" si="12"/>
        <v>7.6239860213926089</v>
      </c>
      <c r="P23" s="9">
        <f t="shared" si="12"/>
        <v>7.5933115537818656</v>
      </c>
      <c r="Q23" s="11">
        <f ca="1">+C23/'SOTR (%GSDP)'!J23*100</f>
        <v>6.6462213583977396</v>
      </c>
      <c r="R23" s="11">
        <f ca="1">+D23/'SOTR (%GSDP)'!K23*100</f>
        <v>6.4028082802409276</v>
      </c>
      <c r="S23" s="11">
        <f ca="1">+E23/'SOTR (%GSDP)'!L23*100</f>
        <v>6.2004651464770832</v>
      </c>
      <c r="T23" s="188">
        <f ca="1">+F23/'SOTR (%GSDP)'!M23*100</f>
        <v>6.9681066269877041</v>
      </c>
      <c r="U23" s="190">
        <f ca="1">+G23/'SOTR (%GSDP)'!N23*100</f>
        <v>6.9799163419183508</v>
      </c>
      <c r="V23" s="188">
        <f ca="1">+H23/'SOTR (%GSDP)'!O23*100</f>
        <v>7.6460860636163908</v>
      </c>
      <c r="W23" s="188">
        <f ca="1">+I23/'SOTR (%GSDP)'!P23*100</f>
        <v>7.7494144725376541</v>
      </c>
    </row>
    <row r="24" spans="1:23" ht="18.75" customHeight="1">
      <c r="A24" s="3">
        <v>17</v>
      </c>
      <c r="B24" s="6" t="s">
        <v>30</v>
      </c>
      <c r="C24" s="18">
        <f ca="1">+'SOTR (%GSDP)'!C24</f>
        <v>11618</v>
      </c>
      <c r="D24" s="18">
        <f ca="1">+'SOTR (%GSDP)'!D24</f>
        <v>11655.28</v>
      </c>
      <c r="E24" s="18">
        <f ca="1">+'SOTR (%GSDP)'!E24</f>
        <v>13220</v>
      </c>
      <c r="F24" s="18">
        <f ca="1">+'SOTR (%GSDP)'!F24</f>
        <v>16790</v>
      </c>
      <c r="G24" s="18">
        <f ca="1">+'SOTR (%GSDP)'!G24</f>
        <v>20399</v>
      </c>
      <c r="H24" s="18">
        <f ca="1">+'SOTR (%GSDP)'!H24</f>
        <v>23559</v>
      </c>
      <c r="I24" s="18">
        <v>28784.34</v>
      </c>
      <c r="J24" s="9">
        <f t="shared" si="8"/>
        <v>3.8835069585405044</v>
      </c>
      <c r="K24" s="9">
        <f t="shared" si="8"/>
        <v>3.4949513334845626</v>
      </c>
      <c r="L24" s="9">
        <f t="shared" si="9"/>
        <v>3.5208205802349601</v>
      </c>
      <c r="M24" s="9">
        <f t="shared" si="10"/>
        <v>3.4999500647386537</v>
      </c>
      <c r="N24" s="9">
        <f t="shared" si="11"/>
        <v>3.551548624233237</v>
      </c>
      <c r="O24" s="9">
        <f t="shared" si="12"/>
        <v>3.5060216021469555</v>
      </c>
      <c r="P24" s="9">
        <f t="shared" si="12"/>
        <v>3.6302343747428369</v>
      </c>
      <c r="Q24" s="11">
        <f ca="1">+C24/'SOTR (%GSDP)'!J24*100</f>
        <v>7.6637906013351271</v>
      </c>
      <c r="R24" s="11">
        <f ca="1">+D24/'SOTR (%GSDP)'!K24*100</f>
        <v>6.3856850133134637</v>
      </c>
      <c r="S24" s="11">
        <f ca="1">+E24/'SOTR (%GSDP)'!L24*100</f>
        <v>5.9123434704830053</v>
      </c>
      <c r="T24" s="188">
        <f ca="1">+F24/'SOTR (%GSDP)'!M24*100</f>
        <v>6.4423051097187098</v>
      </c>
      <c r="U24" s="188">
        <f ca="1">+G24/'SOTR (%GSDP)'!N24*100</f>
        <v>6.7555529061892505</v>
      </c>
      <c r="V24" s="188">
        <f ca="1">+H24/'SOTR (%GSDP)'!O24*100</f>
        <v>6.8239880893760247</v>
      </c>
      <c r="W24" s="188">
        <f ca="1">+I24/'SOTR (%GSDP)'!P24*100</f>
        <v>7.3262355749896919</v>
      </c>
    </row>
    <row r="25" spans="1:23" ht="18.75" customHeight="1">
      <c r="A25" s="3">
        <v>18</v>
      </c>
      <c r="B25" s="6" t="s">
        <v>31</v>
      </c>
      <c r="C25" s="18">
        <f ca="1">+'SOTR (%GSDP)'!C25</f>
        <v>3473.35</v>
      </c>
      <c r="D25" s="18">
        <f ca="1">+'SOTR (%GSDP)'!D25</f>
        <v>3746.19</v>
      </c>
      <c r="E25" s="18">
        <f ca="1">+'SOTR (%GSDP)'!E25</f>
        <v>4500.12</v>
      </c>
      <c r="F25" s="18">
        <f ca="1">+'SOTR (%GSDP)'!F25</f>
        <v>5716.63</v>
      </c>
      <c r="G25" s="18">
        <f ca="1">+'SOTR (%GSDP)'!G25</f>
        <v>6953.89</v>
      </c>
      <c r="H25" s="18">
        <f ca="1">+'SOTR (%GSDP)'!H25</f>
        <v>8180.19</v>
      </c>
      <c r="I25" s="18">
        <v>10152.4</v>
      </c>
      <c r="J25" s="9">
        <f t="shared" si="8"/>
        <v>1.1610241775216612</v>
      </c>
      <c r="K25" s="9">
        <f t="shared" si="8"/>
        <v>1.1233322353462578</v>
      </c>
      <c r="L25" s="9">
        <f t="shared" si="9"/>
        <v>1.198495847921857</v>
      </c>
      <c r="M25" s="9">
        <f t="shared" si="10"/>
        <v>1.191656911172539</v>
      </c>
      <c r="N25" s="9">
        <f t="shared" si="11"/>
        <v>1.2107004491675701</v>
      </c>
      <c r="O25" s="9">
        <f t="shared" si="12"/>
        <v>1.2173658835123093</v>
      </c>
      <c r="P25" s="9">
        <f t="shared" si="12"/>
        <v>1.2804042568333747</v>
      </c>
      <c r="Q25" s="11">
        <f ca="1">+C25/'SOTR (%GSDP)'!J25*100</f>
        <v>4.1374032162001191</v>
      </c>
      <c r="R25" s="11">
        <f ca="1">+D25/'SOTR (%GSDP)'!K25*100</f>
        <v>4.267022803380641</v>
      </c>
      <c r="S25" s="11">
        <f ca="1">+E25/'SOTR (%GSDP)'!L25*100</f>
        <v>4.4723467268264079</v>
      </c>
      <c r="T25" s="188">
        <f ca="1">+F25/'SOTR (%GSDP)'!M25*100</f>
        <v>4.4913459196580794</v>
      </c>
      <c r="U25" s="188">
        <f ca="1">+G25/'SOTR (%GSDP)'!N25*100</f>
        <v>4.8327483998304279</v>
      </c>
      <c r="V25" s="188">
        <f ca="1">+H25/'SOTR (%GSDP)'!O25*100</f>
        <v>4.9614194910114264</v>
      </c>
      <c r="W25" s="188">
        <f ca="1">+I25/'SOTR (%GSDP)'!P25*100</f>
        <v>5.365735064056488</v>
      </c>
    </row>
    <row r="26" spans="1:23" ht="18.75" customHeight="1">
      <c r="A26" s="3">
        <v>19</v>
      </c>
      <c r="B26" s="6" t="s">
        <v>32</v>
      </c>
      <c r="C26" s="18">
        <f ca="1">+'SOTR (%GSDP)'!C26</f>
        <v>25987</v>
      </c>
      <c r="D26" s="18">
        <f ca="1">+'SOTR (%GSDP)'!D26</f>
        <v>27645.66</v>
      </c>
      <c r="E26" s="18">
        <f ca="1">+'SOTR (%GSDP)'!E26</f>
        <v>30579</v>
      </c>
      <c r="F26" s="18">
        <f ca="1">+'SOTR (%GSDP)'!F26</f>
        <v>38473</v>
      </c>
      <c r="G26" s="18">
        <f ca="1">+'SOTR (%GSDP)'!G26</f>
        <v>46476</v>
      </c>
      <c r="H26" s="18">
        <f ca="1">+'SOTR (%GSDP)'!H26</f>
        <v>53754</v>
      </c>
      <c r="I26" s="18">
        <v>62464</v>
      </c>
      <c r="J26" s="9">
        <f t="shared" si="8"/>
        <v>8.6865807653289799</v>
      </c>
      <c r="K26" s="9">
        <f t="shared" si="8"/>
        <v>8.289825408060624</v>
      </c>
      <c r="L26" s="9">
        <f t="shared" si="9"/>
        <v>8.1439616129353141</v>
      </c>
      <c r="M26" s="9">
        <f t="shared" si="10"/>
        <v>8.0198677093919137</v>
      </c>
      <c r="N26" s="9">
        <f t="shared" si="11"/>
        <v>8.0916600745067857</v>
      </c>
      <c r="O26" s="9">
        <f t="shared" si="12"/>
        <v>7.9996046182693421</v>
      </c>
      <c r="P26" s="9">
        <f t="shared" si="12"/>
        <v>7.8778585850478615</v>
      </c>
      <c r="Q26" s="11">
        <f ca="1">+C26/'SOTR (%GSDP)'!J26*100</f>
        <v>9.60244467518263</v>
      </c>
      <c r="R26" s="11">
        <f ca="1">+D26/'SOTR (%GSDP)'!K26*100</f>
        <v>8.9089883729923436</v>
      </c>
      <c r="S26" s="11">
        <f ca="1">+E26/'SOTR (%GSDP)'!L26*100</f>
        <v>9.0588608213675244</v>
      </c>
      <c r="T26" s="188">
        <f ca="1">+F26/'SOTR (%GSDP)'!M26*100</f>
        <v>9.3675965356961122</v>
      </c>
      <c r="U26" s="188">
        <f ca="1">+G26/'SOTR (%GSDP)'!N26*100</f>
        <v>10.127829084712374</v>
      </c>
      <c r="V26" s="188">
        <f ca="1">+H26/'SOTR (%GSDP)'!O26*100</f>
        <v>10.248578651749659</v>
      </c>
      <c r="W26" s="188">
        <f ca="1">+I26/'SOTR (%GSDP)'!P26*100</f>
        <v>10.519171925073802</v>
      </c>
    </row>
    <row r="27" spans="1:23" ht="18.75" customHeight="1">
      <c r="A27" s="3">
        <v>20</v>
      </c>
      <c r="B27" s="6" t="s">
        <v>33</v>
      </c>
      <c r="C27" s="18">
        <f ca="1">+'SOTR (%GSDP)'!C27</f>
        <v>13668.95</v>
      </c>
      <c r="D27" s="18">
        <f ca="1">+'SOTR (%GSDP)'!D27</f>
        <v>15990.18</v>
      </c>
      <c r="E27" s="18">
        <f ca="1">+'SOTR (%GSDP)'!E27</f>
        <v>17625.02</v>
      </c>
      <c r="F27" s="18">
        <f ca="1">+'SOTR (%GSDP)'!F27</f>
        <v>21721.73</v>
      </c>
      <c r="G27" s="18">
        <f ca="1">+'SOTR (%GSDP)'!G27</f>
        <v>25708.6</v>
      </c>
      <c r="H27" s="18">
        <f ca="1">+'SOTR (%GSDP)'!H27</f>
        <v>32122.21</v>
      </c>
      <c r="I27" s="18">
        <v>35171.67</v>
      </c>
      <c r="J27" s="9">
        <f t="shared" si="8"/>
        <v>4.5690706180876424</v>
      </c>
      <c r="K27" s="9">
        <f t="shared" si="8"/>
        <v>4.7948141025919737</v>
      </c>
      <c r="L27" s="9">
        <f t="shared" si="9"/>
        <v>4.693988891305052</v>
      </c>
      <c r="M27" s="9">
        <f t="shared" si="10"/>
        <v>4.5279910851539933</v>
      </c>
      <c r="N27" s="9">
        <f t="shared" si="11"/>
        <v>4.4759715162979843</v>
      </c>
      <c r="O27" s="9">
        <f t="shared" si="12"/>
        <v>4.7803880541916444</v>
      </c>
      <c r="P27" s="9">
        <f t="shared" si="12"/>
        <v>4.435794096759258</v>
      </c>
      <c r="Q27" s="11">
        <f ca="1">+C27/'SOTR (%GSDP)'!J27*100</f>
        <v>7.8045403417817658</v>
      </c>
      <c r="R27" s="11">
        <f ca="1">+D27/'SOTR (%GSDP)'!K27*100</f>
        <v>7.8853651440209491</v>
      </c>
      <c r="S27" s="11">
        <f ca="1">+E27/'SOTR (%GSDP)'!L27*100</f>
        <v>7.5970241251039878</v>
      </c>
      <c r="T27" s="188">
        <f ca="1">+F27/'SOTR (%GSDP)'!M27*100</f>
        <v>8.2350088902199996</v>
      </c>
      <c r="U27" s="188">
        <f ca="1">+G27/'SOTR (%GSDP)'!N27*100</f>
        <v>8.349496274837124</v>
      </c>
      <c r="V27" s="188">
        <f ca="1">+H27/'SOTR (%GSDP)'!O27*100</f>
        <v>9.195166285946561</v>
      </c>
      <c r="W27" s="188">
        <f ca="1">+I27/'SOTR (%GSDP)'!P27*100</f>
        <v>8.7694061912385308</v>
      </c>
    </row>
    <row r="28" spans="1:23" ht="18.75" customHeight="1">
      <c r="A28" s="3">
        <v>21</v>
      </c>
      <c r="B28" s="6" t="s">
        <v>34</v>
      </c>
      <c r="C28" s="18">
        <f ca="1">+'SOTR (%GSDP)'!C28</f>
        <v>12017.63</v>
      </c>
      <c r="D28" s="18">
        <f ca="1">+'SOTR (%GSDP)'!D28</f>
        <v>13613.5</v>
      </c>
      <c r="E28" s="18">
        <f ca="1">+'SOTR (%GSDP)'!E28</f>
        <v>17272.8</v>
      </c>
      <c r="F28" s="18">
        <f ca="1">+'SOTR (%GSDP)'!F28</f>
        <v>21419.35</v>
      </c>
      <c r="G28" s="18">
        <f ca="1">+'SOTR (%GSDP)'!G28</f>
        <v>26973.439999999999</v>
      </c>
      <c r="H28" s="18">
        <f ca="1">+'SOTR (%GSDP)'!H28</f>
        <v>30581.71</v>
      </c>
      <c r="I28" s="18">
        <v>33381.68</v>
      </c>
      <c r="J28" s="9">
        <f t="shared" si="8"/>
        <v>4.0170898373356101</v>
      </c>
      <c r="K28" s="9">
        <f t="shared" si="8"/>
        <v>4.0821430268849896</v>
      </c>
      <c r="L28" s="9">
        <f t="shared" si="9"/>
        <v>4.6001837910954935</v>
      </c>
      <c r="M28" s="9">
        <f t="shared" si="10"/>
        <v>4.464958631278134</v>
      </c>
      <c r="N28" s="9">
        <f t="shared" si="11"/>
        <v>4.6961852896140872</v>
      </c>
      <c r="O28" s="9">
        <f t="shared" si="12"/>
        <v>4.5511327259473475</v>
      </c>
      <c r="P28" s="9">
        <f t="shared" si="12"/>
        <v>4.2100434549711911</v>
      </c>
      <c r="Q28" s="11">
        <f ca="1">+C28/'SOTR (%GSDP)'!J28*100</f>
        <v>7.4422246855628291</v>
      </c>
      <c r="R28" s="11">
        <f ca="1">+D28/'SOTR (%GSDP)'!K28*100</f>
        <v>6.9007380522719446</v>
      </c>
      <c r="S28" s="11">
        <f ca="1">+E28/'SOTR (%GSDP)'!L28*100</f>
        <v>7.5905377553755757</v>
      </c>
      <c r="T28" s="188">
        <f ca="1">+F28/'SOTR (%GSDP)'!M28*100</f>
        <v>8.1319951707694873</v>
      </c>
      <c r="U28" s="188">
        <f ca="1">+G28/'SOTR (%GSDP)'!N28*100</f>
        <v>8.6544871177848357</v>
      </c>
      <c r="V28" s="188">
        <f ca="1">+H28/'SOTR (%GSDP)'!O28*100</f>
        <v>8.2171125638483389</v>
      </c>
      <c r="W28" s="188">
        <f ca="1">+I28/'SOTR (%GSDP)'!P28*100</f>
        <v>7.4033444222665779</v>
      </c>
    </row>
    <row r="29" spans="1:23" s="14" customFormat="1" ht="18.75" customHeight="1">
      <c r="A29" s="12">
        <v>22</v>
      </c>
      <c r="B29" s="13" t="s">
        <v>35</v>
      </c>
      <c r="C29" s="18">
        <f ca="1">+'SOTR (%GSDP)'!C29</f>
        <v>47528.36</v>
      </c>
      <c r="D29" s="18">
        <f ca="1">+'SOTR (%GSDP)'!D29</f>
        <v>52031.05</v>
      </c>
      <c r="E29" s="18">
        <f ca="1">+'SOTR (%GSDP)'!E29</f>
        <v>59106.3</v>
      </c>
      <c r="F29" s="18">
        <f ca="1">+'SOTR (%GSDP)'!F29</f>
        <v>75027.64</v>
      </c>
      <c r="G29" s="18">
        <f ca="1">+'SOTR (%GSDP)'!G29</f>
        <v>87647.62</v>
      </c>
      <c r="H29" s="18">
        <f ca="1">+'SOTR (%GSDP)'!H29</f>
        <v>93294.82</v>
      </c>
      <c r="I29" s="18">
        <v>107259.61</v>
      </c>
      <c r="J29" s="9">
        <f t="shared" si="8"/>
        <v>15.887133481495797</v>
      </c>
      <c r="K29" s="9">
        <f t="shared" si="8"/>
        <v>15.602026513314303</v>
      </c>
      <c r="L29" s="9">
        <f t="shared" si="9"/>
        <v>15.741503590131744</v>
      </c>
      <c r="M29" s="9">
        <f t="shared" si="10"/>
        <v>15.63984475730723</v>
      </c>
      <c r="N29" s="9">
        <f t="shared" si="11"/>
        <v>15.25980608011753</v>
      </c>
      <c r="O29" s="9">
        <f t="shared" si="12"/>
        <v>13.884021150660548</v>
      </c>
      <c r="P29" s="9">
        <f t="shared" si="12"/>
        <v>13.527408418727354</v>
      </c>
      <c r="Q29" s="11">
        <f ca="1">+C29/'SOTR (%GSDP)'!J29*100</f>
        <v>6.9403008394943466</v>
      </c>
      <c r="R29" s="11">
        <f ca="1">+D29/'SOTR (%GSDP)'!K29*100</f>
        <v>6.9009534874776026</v>
      </c>
      <c r="S29" s="11">
        <f ca="1">+E29/'SOTR (%GSDP)'!L29*100</f>
        <v>6.9069507368381693</v>
      </c>
      <c r="T29" s="188">
        <f ca="1">+F29/'SOTR (%GSDP)'!M29*100</f>
        <v>7.2484450567392473</v>
      </c>
      <c r="U29" s="188">
        <f ca="1">+G29/'SOTR (%GSDP)'!N29*100</f>
        <v>7.3067205314001598</v>
      </c>
      <c r="V29" s="188">
        <f ca="1">+H29/'SOTR (%GSDP)'!O29*100</f>
        <v>6.7967236952917149</v>
      </c>
      <c r="W29" s="188">
        <f ca="1">+I29/'SOTR (%GSDP)'!P29*100</f>
        <v>6.7622541206603133</v>
      </c>
    </row>
    <row r="30" spans="1:23" s="14" customFormat="1" ht="18.75" customHeight="1">
      <c r="A30" s="12">
        <v>23</v>
      </c>
      <c r="B30" s="13" t="s">
        <v>74</v>
      </c>
      <c r="C30" s="18">
        <f ca="1">+'SOTR (%GSDP)'!C30</f>
        <v>6856.09</v>
      </c>
      <c r="D30" s="18">
        <f ca="1">+'SOTR (%GSDP)'!D30</f>
        <v>7995.2</v>
      </c>
      <c r="E30" s="18">
        <f ca="1">+'SOTR (%GSDP)'!E30</f>
        <v>8982.34</v>
      </c>
      <c r="F30" s="18">
        <f ca="1">+'SOTR (%GSDP)'!F30</f>
        <v>11192.67</v>
      </c>
      <c r="G30" s="18">
        <f ca="1">+'SOTR (%GSDP)'!G30</f>
        <v>13442.73</v>
      </c>
      <c r="H30" s="18">
        <f ca="1">+'SOTR (%GSDP)'!H30</f>
        <v>15034.13</v>
      </c>
      <c r="I30" s="18">
        <v>17605</v>
      </c>
      <c r="J30" s="9">
        <f>+(C30/C$42)*100</f>
        <v>2.2917604771371982</v>
      </c>
      <c r="K30" s="9">
        <f t="shared" si="8"/>
        <v>2.397440035887235</v>
      </c>
      <c r="L30" s="9">
        <f t="shared" si="9"/>
        <v>2.3922244728190387</v>
      </c>
      <c r="M30" s="9">
        <f t="shared" si="10"/>
        <v>2.3331617683798918</v>
      </c>
      <c r="N30" s="9">
        <f t="shared" si="11"/>
        <v>2.340433807414033</v>
      </c>
      <c r="O30" s="9">
        <f t="shared" si="12"/>
        <v>2.2373608620690861</v>
      </c>
      <c r="P30" s="9">
        <f t="shared" si="12"/>
        <v>2.2203141071620069</v>
      </c>
      <c r="Q30" s="11">
        <f ca="1">+C30/'SOTR (%GSDP)'!J30*100</f>
        <v>5.3035335798381729</v>
      </c>
      <c r="R30" s="11">
        <f ca="1">+D30/'SOTR (%GSDP)'!K30*100</f>
        <v>5.3842993851479211</v>
      </c>
      <c r="S30" s="11">
        <f ca="1">+E30/'SOTR (%GSDP)'!L30*100</f>
        <v>5.5124642519607727</v>
      </c>
      <c r="T30" s="188">
        <f ca="1">+F30/'SOTR (%GSDP)'!M30*100</f>
        <v>5.666313977623652</v>
      </c>
      <c r="U30" s="188">
        <f ca="1">+G30/'SOTR (%GSDP)'!N30*100</f>
        <v>6.2645829352744622</v>
      </c>
      <c r="V30" s="188">
        <f ca="1">+H30/'SOTR (%GSDP)'!O30*100</f>
        <v>5.8851439957096829</v>
      </c>
      <c r="W30" s="188">
        <f ca="1">+I30/'SOTR (%GSDP)'!P30*100</f>
        <v>6.1040726178340856</v>
      </c>
    </row>
    <row r="31" spans="1:23" s="21" customFormat="1" ht="18.75" customHeight="1">
      <c r="A31" s="12">
        <v>24</v>
      </c>
      <c r="B31" s="13" t="s">
        <v>36</v>
      </c>
      <c r="C31" s="18">
        <f ca="1">+'SOTR (%GSDP)'!C31</f>
        <v>9899.25</v>
      </c>
      <c r="D31" s="18">
        <f ca="1">+'SOTR (%GSDP)'!D31</f>
        <v>11150.19</v>
      </c>
      <c r="E31" s="18">
        <f ca="1">+'SOTR (%GSDP)'!E31</f>
        <v>12039.48</v>
      </c>
      <c r="F31" s="18">
        <f ca="1">+'SOTR (%GSDP)'!F31</f>
        <v>16828.18</v>
      </c>
      <c r="G31" s="18">
        <f ca="1">+'SOTR (%GSDP)'!G31</f>
        <v>18841.009999999998</v>
      </c>
      <c r="H31" s="18">
        <f ca="1">+'SOTR (%GSDP)'!H31</f>
        <v>22587.56</v>
      </c>
      <c r="I31" s="18">
        <v>28524</v>
      </c>
      <c r="J31" s="9">
        <f t="shared" ref="J31:L42" si="13">+(C31/C$42)*100</f>
        <v>3.3089865948813983</v>
      </c>
      <c r="K31" s="9">
        <f t="shared" si="8"/>
        <v>3.3434950862704484</v>
      </c>
      <c r="L31" s="9">
        <f t="shared" si="9"/>
        <v>3.2064182268780028</v>
      </c>
      <c r="M31" s="9">
        <f t="shared" si="10"/>
        <v>3.5079088552968263</v>
      </c>
      <c r="N31" s="9">
        <f t="shared" si="11"/>
        <v>3.2802962471035175</v>
      </c>
      <c r="O31" s="9">
        <f t="shared" si="12"/>
        <v>3.3614530879829565</v>
      </c>
      <c r="P31" s="9">
        <f t="shared" si="12"/>
        <v>3.5974007152904908</v>
      </c>
      <c r="Q31" s="11">
        <f ca="1">+C31/'SOTR (%GSDP)'!J31*100</f>
        <v>6.5021839797694509</v>
      </c>
      <c r="R31" s="11">
        <f ca="1">+D31/'SOTR (%GSDP)'!K31*100</f>
        <v>6.4067191836312558</v>
      </c>
      <c r="S31" s="11">
        <f ca="1">+E31/'SOTR (%GSDP)'!L31*100</f>
        <v>6.0959392405063291</v>
      </c>
      <c r="T31" s="188">
        <f ca="1">+F31/'SOTR (%GSDP)'!M31*100</f>
        <v>7.4393821506251001</v>
      </c>
      <c r="U31" s="188">
        <f ca="1">+G31/'SOTR (%GSDP)'!N31*100</f>
        <v>7.3474281480326002</v>
      </c>
      <c r="V31" s="188">
        <f ca="1">+H31/'SOTR (%GSDP)'!O31*100</f>
        <v>7.8754711323563766</v>
      </c>
      <c r="W31" s="188">
        <f ca="1">+I31/'SOTR (%GSDP)'!P31*100</f>
        <v>8.9384144373380305</v>
      </c>
    </row>
    <row r="32" spans="1:23" s="14" customFormat="1" ht="18.75" customHeight="1">
      <c r="A32" s="12">
        <v>25</v>
      </c>
      <c r="B32" s="13" t="s">
        <v>37</v>
      </c>
      <c r="C32" s="18">
        <f ca="1">+'SOTR (%GSDP)'!C32</f>
        <v>13274.73</v>
      </c>
      <c r="D32" s="18">
        <f ca="1">+'SOTR (%GSDP)'!D32</f>
        <v>14943.5</v>
      </c>
      <c r="E32" s="18">
        <f ca="1">+'SOTR (%GSDP)'!E32</f>
        <v>16414.27</v>
      </c>
      <c r="F32" s="18">
        <f ca="1">+'SOTR (%GSDP)'!F32</f>
        <v>20758.13</v>
      </c>
      <c r="G32" s="18">
        <f ca="1">+'SOTR (%GSDP)'!G32</f>
        <v>25377.06</v>
      </c>
      <c r="H32" s="18">
        <f ca="1">+'SOTR (%GSDP)'!H32</f>
        <v>30502.65</v>
      </c>
      <c r="I32" s="18">
        <v>34053.129999999997</v>
      </c>
      <c r="J32" s="9">
        <f t="shared" si="13"/>
        <v>4.4372961204808385</v>
      </c>
      <c r="K32" s="9">
        <f t="shared" si="8"/>
        <v>4.4809567210677521</v>
      </c>
      <c r="L32" s="9">
        <f t="shared" si="9"/>
        <v>4.371535523867875</v>
      </c>
      <c r="M32" s="9">
        <f t="shared" si="10"/>
        <v>4.3271243857863846</v>
      </c>
      <c r="N32" s="9">
        <f t="shared" si="11"/>
        <v>4.4182490578010842</v>
      </c>
      <c r="O32" s="9">
        <f t="shared" si="12"/>
        <v>4.5393671133209317</v>
      </c>
      <c r="P32" s="9">
        <f t="shared" si="12"/>
        <v>4.2947256422619571</v>
      </c>
      <c r="Q32" s="11">
        <f ca="1">+C32/'SOTR (%GSDP)'!J32*100</f>
        <v>6.8137735984642385</v>
      </c>
      <c r="R32" s="11">
        <f ca="1">+D32/'SOTR (%GSDP)'!K32*100</f>
        <v>6.4704761657335599</v>
      </c>
      <c r="S32" s="11">
        <f ca="1">+E32/'SOTR (%GSDP)'!L32*100</f>
        <v>6.1748405906141262</v>
      </c>
      <c r="T32" s="188">
        <f ca="1">+F32/'SOTR (%GSDP)'!M32*100</f>
        <v>6.1351419248820749</v>
      </c>
      <c r="U32" s="188">
        <f ca="1">+G32/'SOTR (%GSDP)'!N32*100</f>
        <v>6.2904501985513939</v>
      </c>
      <c r="V32" s="188">
        <f ca="1">+H32/'SOTR (%GSDP)'!O32*100</f>
        <v>6.6423461777163215</v>
      </c>
      <c r="W32" s="188">
        <f ca="1">+I32/'SOTR (%GSDP)'!P32*100</f>
        <v>6.629146485804613</v>
      </c>
    </row>
    <row r="33" spans="1:23" s="14" customFormat="1" ht="18.75" customHeight="1">
      <c r="A33" s="12">
        <v>26</v>
      </c>
      <c r="B33" s="13" t="s">
        <v>38</v>
      </c>
      <c r="C33" s="18">
        <f ca="1">+'SOTR (%GSDP)'!C33</f>
        <v>29619.1</v>
      </c>
      <c r="D33" s="18">
        <f ca="1">+'SOTR (%GSDP)'!D33</f>
        <v>33684.370000000003</v>
      </c>
      <c r="E33" s="18">
        <f ca="1">+'SOTR (%GSDP)'!E33</f>
        <v>36546.67</v>
      </c>
      <c r="F33" s="18">
        <f ca="1">+'SOTR (%GSDP)'!F33</f>
        <v>47782.18</v>
      </c>
      <c r="G33" s="18">
        <f ca="1">+'SOTR (%GSDP)'!G33</f>
        <v>59517.31</v>
      </c>
      <c r="H33" s="18">
        <f ca="1">+'SOTR (%GSDP)'!H33</f>
        <v>71460.55</v>
      </c>
      <c r="I33" s="18">
        <v>86065.4</v>
      </c>
      <c r="J33" s="9">
        <f t="shared" si="13"/>
        <v>9.9006697328031539</v>
      </c>
      <c r="K33" s="9">
        <f t="shared" si="8"/>
        <v>10.10059250820979</v>
      </c>
      <c r="L33" s="9">
        <f t="shared" si="9"/>
        <v>9.733303167553375</v>
      </c>
      <c r="M33" s="9">
        <f t="shared" si="10"/>
        <v>9.9604076226536034</v>
      </c>
      <c r="N33" s="9">
        <f t="shared" si="11"/>
        <v>10.362205032038975</v>
      </c>
      <c r="O33" s="9">
        <f t="shared" si="12"/>
        <v>10.634671760316762</v>
      </c>
      <c r="P33" s="9">
        <f t="shared" si="12"/>
        <v>10.854428955327519</v>
      </c>
      <c r="Q33" s="11">
        <f ca="1">+C33/'SOTR (%GSDP)'!J33*100</f>
        <v>8.4428437456352139</v>
      </c>
      <c r="R33" s="11">
        <f ca="1">+D33/'SOTR (%GSDP)'!K33*100</f>
        <v>8.3930596806665747</v>
      </c>
      <c r="S33" s="11">
        <f ca="1">+E33/'SOTR (%GSDP)'!L33*100</f>
        <v>7.618127166569737</v>
      </c>
      <c r="T33" s="188">
        <f ca="1">+F33/'SOTR (%GSDP)'!M33*100</f>
        <v>8.1693463453331887</v>
      </c>
      <c r="U33" s="188">
        <f ca="1">+G33/'SOTR (%GSDP)'!N33*100</f>
        <v>8.9457743134048382</v>
      </c>
      <c r="V33" s="188">
        <f ca="1">+H33/'SOTR (%GSDP)'!O33*100</f>
        <v>9.5987972716307084</v>
      </c>
      <c r="W33" s="188">
        <f ca="1">+I33/'SOTR (%GSDP)'!P33*100</f>
        <v>10.121542621063389</v>
      </c>
    </row>
    <row r="34" spans="1:23" s="14" customFormat="1" ht="18.75" customHeight="1">
      <c r="A34" s="12">
        <v>27</v>
      </c>
      <c r="B34" s="13" t="s">
        <v>39</v>
      </c>
      <c r="C34" s="18">
        <f ca="1">+'SOTR (%GSDP)'!C34</f>
        <v>24959.32</v>
      </c>
      <c r="D34" s="18">
        <f ca="1">+'SOTR (%GSDP)'!D34</f>
        <v>28659</v>
      </c>
      <c r="E34" s="18">
        <f ca="1">+'SOTR (%GSDP)'!E34</f>
        <v>33877.57</v>
      </c>
      <c r="F34" s="18">
        <f ca="1">+'SOTR (%GSDP)'!F34</f>
        <v>41354.83</v>
      </c>
      <c r="G34" s="18">
        <f ca="1">+'SOTR (%GSDP)'!G34</f>
        <v>52613.43</v>
      </c>
      <c r="H34" s="18">
        <f ca="1">+'SOTR (%GSDP)'!H34</f>
        <v>60472.14</v>
      </c>
      <c r="I34" s="18">
        <v>72193</v>
      </c>
      <c r="J34" s="9">
        <f t="shared" si="13"/>
        <v>8.3430618781579611</v>
      </c>
      <c r="K34" s="9">
        <f t="shared" si="8"/>
        <v>8.5936854598374364</v>
      </c>
      <c r="L34" s="9">
        <f t="shared" si="9"/>
        <v>9.0224542862594923</v>
      </c>
      <c r="M34" s="9">
        <f t="shared" si="10"/>
        <v>8.6205979711587855</v>
      </c>
      <c r="N34" s="9">
        <f t="shared" si="11"/>
        <v>9.1602115266773723</v>
      </c>
      <c r="O34" s="9">
        <f t="shared" si="12"/>
        <v>8.9993900067089001</v>
      </c>
      <c r="P34" s="9">
        <f t="shared" si="12"/>
        <v>9.1048643191335845</v>
      </c>
      <c r="Q34" s="11">
        <f ca="1">+C34/'SOTR (%GSDP)'!J34*100</f>
        <v>6.5163513704030533</v>
      </c>
      <c r="R34" s="11">
        <f ca="1">+D34/'SOTR (%GSDP)'!K34*100</f>
        <v>6.4447867591666013</v>
      </c>
      <c r="S34" s="11">
        <f ca="1">+E34/'SOTR (%GSDP)'!L34*100</f>
        <v>6.4726706840353536</v>
      </c>
      <c r="T34" s="188">
        <f ca="1">+F34/'SOTR (%GSDP)'!M34*100</f>
        <v>6.8905882392146154</v>
      </c>
      <c r="U34" s="188">
        <f ca="1">+G34/'SOTR (%GSDP)'!N34*100</f>
        <v>7.7485843297639052</v>
      </c>
      <c r="V34" s="188">
        <f ca="1">+H34/'SOTR (%GSDP)'!O34*100</f>
        <v>7.8644532012016697</v>
      </c>
      <c r="W34" s="188">
        <f ca="1">+I34/'SOTR (%GSDP)'!P34*100</f>
        <v>8.1444252659604484</v>
      </c>
    </row>
    <row r="35" spans="1:23" s="14" customFormat="1" ht="18.75" customHeight="1">
      <c r="A35" s="12">
        <v>28</v>
      </c>
      <c r="B35" s="13" t="s">
        <v>40</v>
      </c>
      <c r="C35" s="18">
        <f ca="1">+'SOTR (%GSDP)'!C35</f>
        <v>13126.34</v>
      </c>
      <c r="D35" s="18">
        <f ca="1">+'SOTR (%GSDP)'!D35</f>
        <v>14419.15</v>
      </c>
      <c r="E35" s="18">
        <f ca="1">+'SOTR (%GSDP)'!E35</f>
        <v>16899.98</v>
      </c>
      <c r="F35" s="18">
        <f ca="1">+'SOTR (%GSDP)'!F35</f>
        <v>21128.74</v>
      </c>
      <c r="G35" s="18">
        <f ca="1">+'SOTR (%GSDP)'!G35</f>
        <v>24938.16</v>
      </c>
      <c r="H35" s="18">
        <f ca="1">+'SOTR (%GSDP)'!H35</f>
        <v>32808.49</v>
      </c>
      <c r="I35" s="18">
        <v>39783.629999999997</v>
      </c>
      <c r="J35" s="9">
        <f t="shared" si="13"/>
        <v>4.3876943303639662</v>
      </c>
      <c r="K35" s="9">
        <f t="shared" si="13"/>
        <v>4.3237251717860001</v>
      </c>
      <c r="L35" s="9">
        <f t="shared" si="9"/>
        <v>4.5008923895279294</v>
      </c>
      <c r="M35" s="9">
        <f t="shared" si="10"/>
        <v>4.4043796861730895</v>
      </c>
      <c r="N35" s="9">
        <f t="shared" si="11"/>
        <v>4.3418347879262873</v>
      </c>
      <c r="O35" s="9">
        <f t="shared" si="12"/>
        <v>4.882519405485052</v>
      </c>
      <c r="P35" s="9">
        <f t="shared" si="12"/>
        <v>5.0174470277258525</v>
      </c>
      <c r="Q35" s="11">
        <f ca="1">+C35/'SOTR (%GSDP)'!J35*100</f>
        <v>4.3830000367299649</v>
      </c>
      <c r="R35" s="11">
        <f ca="1">+D35/'SOTR (%GSDP)'!K35*100</f>
        <v>4.216840867749502</v>
      </c>
      <c r="S35" s="11">
        <f ca="1">+E35/'SOTR (%GSDP)'!L35*100</f>
        <v>4.2368582029683113</v>
      </c>
      <c r="T35" s="188">
        <f ca="1">+F35/'SOTR (%GSDP)'!M35*100</f>
        <v>4.5836484372796713</v>
      </c>
      <c r="U35" s="188">
        <f ca="1">+G35/'SOTR (%GSDP)'!N35*100</f>
        <v>4.6335457043639181</v>
      </c>
      <c r="V35" s="188">
        <f ca="1">+H35/'SOTR (%GSDP)'!O35*100</f>
        <v>5.2903266898864807</v>
      </c>
      <c r="W35" s="188">
        <f ca="1">+I35/'SOTR (%GSDP)'!P35*100</f>
        <v>5.620363411353849</v>
      </c>
    </row>
    <row r="36" spans="1:23" s="17" customFormat="1" ht="18.75" customHeight="1">
      <c r="A36" s="15"/>
      <c r="B36" s="5" t="s">
        <v>190</v>
      </c>
      <c r="C36" s="66">
        <f t="shared" ref="C36:I36" si="14">SUM(C19:C35)</f>
        <v>274770.30000000005</v>
      </c>
      <c r="D36" s="66">
        <f t="shared" si="14"/>
        <v>306894.39</v>
      </c>
      <c r="E36" s="66">
        <f t="shared" si="14"/>
        <v>346147.47</v>
      </c>
      <c r="F36" s="66">
        <f t="shared" si="14"/>
        <v>440687.62</v>
      </c>
      <c r="G36" s="66">
        <f t="shared" si="14"/>
        <v>529526.02</v>
      </c>
      <c r="H36" s="66">
        <f t="shared" si="14"/>
        <v>617979.77</v>
      </c>
      <c r="I36" s="66">
        <f t="shared" si="14"/>
        <v>728168.57</v>
      </c>
      <c r="J36" s="16">
        <f t="shared" si="13"/>
        <v>91.8464771948926</v>
      </c>
      <c r="K36" s="16">
        <f t="shared" si="13"/>
        <v>92.025327368319878</v>
      </c>
      <c r="L36" s="16">
        <f t="shared" si="13"/>
        <v>92.187831783075907</v>
      </c>
      <c r="M36" s="16">
        <f t="shared" si="10"/>
        <v>91.863291491871536</v>
      </c>
      <c r="N36" s="16">
        <f t="shared" si="11"/>
        <v>92.19262747324386</v>
      </c>
      <c r="O36" s="16">
        <f t="shared" si="12"/>
        <v>91.96699449508921</v>
      </c>
      <c r="P36" s="16">
        <f t="shared" si="12"/>
        <v>91.835441542913117</v>
      </c>
      <c r="Q36" s="155">
        <f ca="1">+C36/'SOTR (%GSDP)'!J36*100</f>
        <v>6.9652402519823813</v>
      </c>
      <c r="R36" s="155">
        <f ca="1">+D36/'SOTR (%GSDP)'!K36*100</f>
        <v>6.7665847194539008</v>
      </c>
      <c r="S36" s="155">
        <f ca="1">+E36/'SOTR (%GSDP)'!L36*100</f>
        <v>6.6504460432871015</v>
      </c>
      <c r="T36" s="191">
        <f ca="1">+F36/'SOTR (%GSDP)'!M36*100</f>
        <v>7.0718712950665941</v>
      </c>
      <c r="U36" s="191">
        <f ca="1">+G36/'SOTR (%GSDP)'!N36*100</f>
        <v>7.4016094879078747</v>
      </c>
      <c r="V36" s="191">
        <f ca="1">+H36/'SOTR (%GSDP)'!O36*100</f>
        <v>7.5447832952541276</v>
      </c>
      <c r="W36" s="191">
        <f ca="1">+I36/'SOTR (%GSDP)'!P36*100</f>
        <v>7.7483443144386088</v>
      </c>
    </row>
    <row r="37" spans="1:23" s="14" customFormat="1" ht="18.75" customHeight="1">
      <c r="A37" s="12"/>
      <c r="B37" s="5" t="s">
        <v>42</v>
      </c>
      <c r="C37" s="18"/>
      <c r="D37" s="18"/>
      <c r="E37" s="18"/>
      <c r="F37" s="18"/>
      <c r="G37" s="18"/>
      <c r="H37" s="18"/>
      <c r="I37" s="18"/>
      <c r="J37" s="9"/>
      <c r="K37" s="9"/>
      <c r="L37" s="9"/>
      <c r="M37" s="9"/>
      <c r="N37" s="9"/>
      <c r="O37" s="188"/>
      <c r="P37" s="188"/>
      <c r="Q37" s="11"/>
      <c r="R37" s="11"/>
      <c r="S37" s="11"/>
      <c r="T37" s="188"/>
      <c r="U37" s="188"/>
      <c r="V37" s="188"/>
      <c r="W37" s="188"/>
    </row>
    <row r="38" spans="1:23" s="14" customFormat="1" ht="18.75" customHeight="1">
      <c r="A38" s="12">
        <v>29</v>
      </c>
      <c r="B38" s="13" t="s">
        <v>43</v>
      </c>
      <c r="C38" s="18">
        <f ca="1">+'SOTR (%GSDP)'!C38</f>
        <v>11782.8</v>
      </c>
      <c r="D38" s="18">
        <f ca="1">+'SOTR (%GSDP)'!D38</f>
        <v>12180.7</v>
      </c>
      <c r="E38" s="18">
        <f ca="1">+'SOTR (%GSDP)'!E38</f>
        <v>13447.86</v>
      </c>
      <c r="F38" s="18">
        <f ca="1">+'SOTR (%GSDP)'!F38</f>
        <v>16477.75</v>
      </c>
      <c r="G38" s="18">
        <f ca="1">+'SOTR (%GSDP)'!G38</f>
        <v>19971.669999999998</v>
      </c>
      <c r="H38" s="18">
        <f ca="1">+'SOTR (%GSDP)'!H38</f>
        <v>23431.52</v>
      </c>
      <c r="I38" s="18">
        <f ca="1">+'SOTR (%GSDP)'!I38</f>
        <v>30454</v>
      </c>
      <c r="J38" s="9">
        <f t="shared" si="13"/>
        <v>3.9385940601730978</v>
      </c>
      <c r="K38" s="9">
        <f t="shared" si="13"/>
        <v>3.652503732881184</v>
      </c>
      <c r="L38" s="9">
        <f t="shared" si="13"/>
        <v>3.5815054650619156</v>
      </c>
      <c r="M38" s="9">
        <f t="shared" ref="M38:P40" si="15">+(F38/F$42)*100</f>
        <v>3.4348601655299196</v>
      </c>
      <c r="N38" s="9">
        <f t="shared" si="15"/>
        <v>3.4771487382783572</v>
      </c>
      <c r="O38" s="9">
        <f t="shared" si="15"/>
        <v>3.4870501842666677</v>
      </c>
      <c r="P38" s="9">
        <f t="shared" si="15"/>
        <v>3.8408091916791682</v>
      </c>
      <c r="Q38" s="11">
        <f ca="1">+C38/'SOTR (%GSDP)'!J38*100</f>
        <v>7.4599707496818546</v>
      </c>
      <c r="R38" s="11">
        <f ca="1">+D38/'SOTR (%GSDP)'!K38*100</f>
        <v>6.4266908664981832</v>
      </c>
      <c r="S38" s="11">
        <f ca="1">+E38/'SOTR (%GSDP)'!L38*100</f>
        <v>6.1795431465083475</v>
      </c>
      <c r="T38" s="188">
        <f ca="1">+F38/'SOTR (%GSDP)'!M38*100</f>
        <v>6.5193093652696499</v>
      </c>
      <c r="U38" s="188">
        <f ca="1">+G38/'SOTR (%GSDP)'!N38*100</f>
        <v>6.7254417306209309</v>
      </c>
      <c r="V38" s="188">
        <f ca="1">+H38/'SOTR (%GSDP)'!O38*100</f>
        <v>6.7289221500139291</v>
      </c>
      <c r="W38" s="188">
        <f ca="1">+I38/'SOTR (%GSDP)'!P38*100</f>
        <v>7.5273866961955234</v>
      </c>
    </row>
    <row r="39" spans="1:23" s="14" customFormat="1" ht="18.75" customHeight="1">
      <c r="A39" s="12">
        <v>30</v>
      </c>
      <c r="B39" s="13" t="s">
        <v>44</v>
      </c>
      <c r="C39" s="18">
        <f ca="1">+'SOTR (%GSDP)'!C39</f>
        <v>653</v>
      </c>
      <c r="D39" s="18">
        <f ca="1">+'SOTR (%GSDP)'!D39</f>
        <v>725</v>
      </c>
      <c r="E39" s="18">
        <f ca="1">+'SOTR (%GSDP)'!E39</f>
        <v>868</v>
      </c>
      <c r="F39" s="18">
        <f ca="1">+'SOTR (%GSDP)'!F39</f>
        <v>1074</v>
      </c>
      <c r="G39" s="18">
        <f ca="1">+'SOTR (%GSDP)'!G39</f>
        <v>1329</v>
      </c>
      <c r="H39" s="18">
        <f ca="1">+'SOTR (%GSDP)'!H39</f>
        <v>1971.22</v>
      </c>
      <c r="I39" s="18">
        <f ca="1">+'SOTR (%GSDP)'!I39</f>
        <v>2000</v>
      </c>
      <c r="J39" s="9">
        <f t="shared" si="13"/>
        <v>0.21827595489128504</v>
      </c>
      <c r="K39" s="9">
        <f t="shared" si="13"/>
        <v>0.21739844231767128</v>
      </c>
      <c r="L39" s="9">
        <f>+(E39/E$42)*100</f>
        <v>0.23117036790044976</v>
      </c>
      <c r="M39" s="9">
        <f t="shared" si="15"/>
        <v>0.22388006965630222</v>
      </c>
      <c r="N39" s="9">
        <f t="shared" si="15"/>
        <v>0.23138428950468024</v>
      </c>
      <c r="O39" s="9">
        <f t="shared" si="15"/>
        <v>0.29335455251004378</v>
      </c>
      <c r="P39" s="9">
        <f t="shared" si="15"/>
        <v>0.25223676309707549</v>
      </c>
      <c r="Q39" s="11">
        <f ca="1">+C39/'SOTR (%GSDP)'!J39*100</f>
        <v>7.0586963571505787</v>
      </c>
      <c r="R39" s="11">
        <f ca="1">+D39/'SOTR (%GSDP)'!K39*100</f>
        <v>7.2139303482587067</v>
      </c>
      <c r="S39" s="11">
        <f ca="1">+E39/'SOTR (%GSDP)'!L39*100</f>
        <v>7.0546163849154739</v>
      </c>
      <c r="T39" s="188">
        <f ca="1">+F39/'SOTR (%GSDP)'!M39*100</f>
        <v>8.2034830430797427</v>
      </c>
      <c r="U39" s="188">
        <f ca="1">+G39/'SOTR (%GSDP)'!N39*100</f>
        <v>9.0840738209159255</v>
      </c>
      <c r="V39" s="188">
        <f ca="1">+H39/'SOTR (%GSDP)'!O39*100</f>
        <v>11.465914378780829</v>
      </c>
      <c r="W39" s="188">
        <f ca="1">+I39/'SOTR (%GSDP)'!P39*100</f>
        <v>9.3023255813953494</v>
      </c>
    </row>
    <row r="40" spans="1:23" s="17" customFormat="1" ht="18.75" customHeight="1">
      <c r="A40" s="15"/>
      <c r="B40" s="5" t="s">
        <v>45</v>
      </c>
      <c r="C40" s="66">
        <f t="shared" ref="C40:I40" si="16">SUM(C38:C39)</f>
        <v>12435.8</v>
      </c>
      <c r="D40" s="66">
        <f t="shared" si="16"/>
        <v>12905.7</v>
      </c>
      <c r="E40" s="66">
        <f t="shared" si="16"/>
        <v>14315.86</v>
      </c>
      <c r="F40" s="66">
        <f t="shared" si="16"/>
        <v>17551.75</v>
      </c>
      <c r="G40" s="66">
        <f t="shared" si="16"/>
        <v>21300.67</v>
      </c>
      <c r="H40" s="66">
        <f t="shared" si="16"/>
        <v>25402.74</v>
      </c>
      <c r="I40" s="66">
        <f t="shared" si="16"/>
        <v>32454</v>
      </c>
      <c r="J40" s="16">
        <f t="shared" si="13"/>
        <v>4.1568700150643831</v>
      </c>
      <c r="K40" s="16">
        <f t="shared" si="13"/>
        <v>3.8699021751988556</v>
      </c>
      <c r="L40" s="16">
        <f t="shared" si="13"/>
        <v>3.8126758329623653</v>
      </c>
      <c r="M40" s="16">
        <f t="shared" si="15"/>
        <v>3.6587402351862219</v>
      </c>
      <c r="N40" s="16">
        <f t="shared" si="15"/>
        <v>3.7085330277830368</v>
      </c>
      <c r="O40" s="16">
        <f t="shared" si="15"/>
        <v>3.7804047367767115</v>
      </c>
      <c r="P40" s="16">
        <f t="shared" si="15"/>
        <v>4.0930459547762439</v>
      </c>
      <c r="Q40" s="155">
        <f ca="1">+C40/'SOTR (%GSDP)'!J40*100</f>
        <v>7.4377683943587831</v>
      </c>
      <c r="R40" s="155">
        <f ca="1">+D40/'SOTR (%GSDP)'!K40*100</f>
        <v>6.4663323028514448</v>
      </c>
      <c r="S40" s="155">
        <f ca="1">+E40/'SOTR (%GSDP)'!L40*100</f>
        <v>6.226371437394258</v>
      </c>
      <c r="T40" s="191">
        <f ca="1">+F40/'SOTR (%GSDP)'!M40*100</f>
        <v>6.6022494310594526</v>
      </c>
      <c r="U40" s="191">
        <f ca="1">+G40/'SOTR (%GSDP)'!N40*100</f>
        <v>6.8361870039507417</v>
      </c>
      <c r="V40" s="191">
        <f ca="1">+H40/'SOTR (%GSDP)'!O40*100</f>
        <v>6.9517887978807549</v>
      </c>
      <c r="W40" s="191">
        <f ca="1">+I40/'SOTR (%GSDP)'!P40*100</f>
        <v>7.6169509664942403</v>
      </c>
    </row>
    <row r="41" spans="1:23" s="17" customFormat="1">
      <c r="A41" s="15"/>
      <c r="B41" s="5"/>
      <c r="C41" s="66"/>
      <c r="D41" s="66"/>
      <c r="E41" s="66"/>
      <c r="F41" s="66"/>
      <c r="G41" s="66"/>
      <c r="H41" s="66"/>
      <c r="I41" s="66"/>
      <c r="J41" s="16"/>
      <c r="K41" s="16"/>
      <c r="L41" s="16"/>
      <c r="M41" s="16"/>
      <c r="N41" s="16"/>
      <c r="O41" s="16"/>
      <c r="P41" s="16"/>
      <c r="Q41" s="155"/>
      <c r="R41" s="155"/>
      <c r="S41" s="155"/>
      <c r="T41" s="191"/>
      <c r="U41" s="191"/>
      <c r="V41" s="191"/>
      <c r="W41" s="191"/>
    </row>
    <row r="42" spans="1:23" s="17" customFormat="1">
      <c r="A42" s="15"/>
      <c r="B42" s="5" t="s">
        <v>46</v>
      </c>
      <c r="C42" s="66">
        <f t="shared" ref="C42:I42" si="17">+C17+C36+C40</f>
        <v>299162.59000000003</v>
      </c>
      <c r="D42" s="66">
        <f t="shared" si="17"/>
        <v>333489.05000000005</v>
      </c>
      <c r="E42" s="66">
        <f t="shared" si="17"/>
        <v>375480.64999999997</v>
      </c>
      <c r="F42" s="66">
        <f t="shared" si="17"/>
        <v>479721.13</v>
      </c>
      <c r="G42" s="66">
        <f t="shared" si="17"/>
        <v>574369.16</v>
      </c>
      <c r="H42" s="66">
        <f t="shared" si="17"/>
        <v>671958.21</v>
      </c>
      <c r="I42" s="66">
        <f t="shared" si="17"/>
        <v>792905.83</v>
      </c>
      <c r="J42" s="16">
        <f>+(C42/C$42)*100</f>
        <v>100</v>
      </c>
      <c r="K42" s="16">
        <f t="shared" si="13"/>
        <v>100</v>
      </c>
      <c r="L42" s="16">
        <f>+(E42/E$42)*100</f>
        <v>100</v>
      </c>
      <c r="M42" s="16">
        <f>+(F42/F$42)*100</f>
        <v>100</v>
      </c>
      <c r="N42" s="16">
        <f>+(G42/G$42)*100</f>
        <v>100</v>
      </c>
      <c r="O42" s="16">
        <f>+(H42/H$42)*100</f>
        <v>100</v>
      </c>
      <c r="P42" s="16">
        <f>+(I42/I$42)*100</f>
        <v>100</v>
      </c>
      <c r="Q42" s="155">
        <f ca="1">+C42/'SOTR (%GSDP)'!J42*100</f>
        <v>6.8811084662248749</v>
      </c>
      <c r="R42" s="155">
        <f ca="1">+D42/'SOTR (%GSDP)'!K42*100</f>
        <v>6.6545580330436103</v>
      </c>
      <c r="S42" s="155">
        <f ca="1">+E42/'SOTR (%GSDP)'!L42*100</f>
        <v>6.5144205996074138</v>
      </c>
      <c r="T42" s="191">
        <f ca="1">+F42/'SOTR (%GSDP)'!M42*100</f>
        <v>6.9668753248560105</v>
      </c>
      <c r="U42" s="191">
        <f ca="1">+G42/'SOTR (%GSDP)'!N42*100</f>
        <v>7.2635502710446245</v>
      </c>
      <c r="V42" s="191">
        <f ca="1">+H42/'SOTR (%GSDP)'!O42*100</f>
        <v>7.41675401026313</v>
      </c>
      <c r="W42" s="191">
        <f ca="1">+I42/'SOTR (%GSDP)'!P42*100</f>
        <v>7.6213201413624381</v>
      </c>
    </row>
    <row r="43" spans="1:23" s="14" customFormat="1">
      <c r="A43" s="22"/>
      <c r="B43" s="582" t="s">
        <v>187</v>
      </c>
      <c r="C43" s="582"/>
      <c r="D43" s="582"/>
      <c r="E43" s="582"/>
      <c r="F43" s="582"/>
      <c r="G43" s="582"/>
      <c r="H43" s="582"/>
      <c r="I43" s="582"/>
      <c r="J43" s="582"/>
      <c r="K43" s="23" t="s">
        <v>186</v>
      </c>
      <c r="L43" s="23"/>
      <c r="M43" s="23"/>
      <c r="N43" s="23"/>
      <c r="O43" s="23"/>
      <c r="P43" s="23"/>
      <c r="Q43" s="23"/>
      <c r="R43" s="23"/>
    </row>
    <row r="44" spans="1:23" s="14" customFormat="1">
      <c r="A44" s="24"/>
      <c r="F44" s="220"/>
      <c r="G44" s="220"/>
      <c r="H44" s="220"/>
      <c r="I44" s="220"/>
    </row>
  </sheetData>
  <mergeCells count="8">
    <mergeCell ref="B43:J43"/>
    <mergeCell ref="A1:R1"/>
    <mergeCell ref="S1:T1"/>
    <mergeCell ref="A2:A4"/>
    <mergeCell ref="B2:B3"/>
    <mergeCell ref="C2:I2"/>
    <mergeCell ref="J2:P2"/>
    <mergeCell ref="Q2:W2"/>
  </mergeCells>
  <phoneticPr fontId="42" type="noConversion"/>
  <printOptions horizontalCentered="1"/>
  <pageMargins left="0.35433070866141736" right="0.35433070866141736" top="0.78740157480314965" bottom="0.19685039370078741" header="0" footer="0"/>
  <pageSetup paperSize="9" scale="66" orientation="landscape" verticalDpi="0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339966"/>
    <pageSetUpPr fitToPage="1"/>
  </sheetPr>
  <dimension ref="A1:W59"/>
  <sheetViews>
    <sheetView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B5" sqref="B5"/>
    </sheetView>
  </sheetViews>
  <sheetFormatPr defaultRowHeight="14.25"/>
  <cols>
    <col min="1" max="1" width="5.42578125" style="26" customWidth="1"/>
    <col min="2" max="2" width="41.85546875" style="26" customWidth="1"/>
    <col min="3" max="13" width="10.85546875" style="38" customWidth="1"/>
    <col min="14" max="16" width="11.140625" style="38" customWidth="1"/>
    <col min="17" max="22" width="10.85546875" style="26" customWidth="1"/>
    <col min="23" max="16384" width="9.140625" style="26"/>
  </cols>
  <sheetData>
    <row r="1" spans="1:23" ht="22.5" customHeight="1">
      <c r="A1" s="606" t="s">
        <v>94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607"/>
      <c r="R1" s="607"/>
      <c r="S1" s="607"/>
      <c r="T1" s="607"/>
      <c r="U1" s="607"/>
      <c r="V1" s="607"/>
    </row>
    <row r="2" spans="1:23" ht="45.75" customHeight="1">
      <c r="A2" s="608" t="s">
        <v>47</v>
      </c>
      <c r="B2" s="609" t="s">
        <v>116</v>
      </c>
      <c r="C2" s="611" t="s">
        <v>142</v>
      </c>
      <c r="D2" s="612"/>
      <c r="E2" s="612"/>
      <c r="F2" s="612"/>
      <c r="G2" s="612"/>
      <c r="H2" s="612"/>
      <c r="I2" s="613"/>
      <c r="J2" s="611" t="s">
        <v>136</v>
      </c>
      <c r="K2" s="612"/>
      <c r="L2" s="612"/>
      <c r="M2" s="612"/>
      <c r="N2" s="612"/>
      <c r="O2" s="612"/>
      <c r="P2" s="613"/>
      <c r="Q2" s="614" t="s">
        <v>143</v>
      </c>
      <c r="R2" s="614"/>
      <c r="S2" s="614"/>
      <c r="T2" s="614"/>
      <c r="U2" s="614"/>
      <c r="V2" s="614"/>
      <c r="W2" s="614"/>
    </row>
    <row r="3" spans="1:23" s="27" customFormat="1" ht="34.5" customHeight="1">
      <c r="A3" s="608"/>
      <c r="B3" s="610"/>
      <c r="C3" s="1" t="s">
        <v>48</v>
      </c>
      <c r="D3" s="1" t="s">
        <v>49</v>
      </c>
      <c r="E3" s="1" t="s">
        <v>5</v>
      </c>
      <c r="F3" s="1" t="s">
        <v>6</v>
      </c>
      <c r="G3" s="1" t="s">
        <v>7</v>
      </c>
      <c r="H3" s="1" t="s">
        <v>122</v>
      </c>
      <c r="I3" s="1" t="s">
        <v>139</v>
      </c>
      <c r="J3" s="1" t="s">
        <v>48</v>
      </c>
      <c r="K3" s="1" t="s">
        <v>49</v>
      </c>
      <c r="L3" s="1" t="s">
        <v>5</v>
      </c>
      <c r="M3" s="1" t="s">
        <v>6</v>
      </c>
      <c r="N3" s="1" t="s">
        <v>7</v>
      </c>
      <c r="O3" s="1" t="s">
        <v>122</v>
      </c>
      <c r="P3" s="222" t="s">
        <v>139</v>
      </c>
      <c r="Q3" s="127" t="s">
        <v>48</v>
      </c>
      <c r="R3" s="127" t="s">
        <v>49</v>
      </c>
      <c r="S3" s="127" t="s">
        <v>5</v>
      </c>
      <c r="T3" s="127" t="s">
        <v>6</v>
      </c>
      <c r="U3" s="127" t="s">
        <v>7</v>
      </c>
      <c r="V3" s="123" t="s">
        <v>122</v>
      </c>
      <c r="W3" s="123" t="s">
        <v>139</v>
      </c>
    </row>
    <row r="4" spans="1:23" s="30" customFormat="1" ht="18" customHeight="1">
      <c r="A4" s="608"/>
      <c r="B4" s="122">
        <v>41834</v>
      </c>
      <c r="C4" s="28" t="s">
        <v>8</v>
      </c>
      <c r="D4" s="28" t="s">
        <v>8</v>
      </c>
      <c r="E4" s="29" t="s">
        <v>8</v>
      </c>
      <c r="F4" s="29" t="s">
        <v>8</v>
      </c>
      <c r="G4" s="29" t="s">
        <v>8</v>
      </c>
      <c r="H4" s="29" t="s">
        <v>50</v>
      </c>
      <c r="I4" s="221" t="s">
        <v>10</v>
      </c>
      <c r="J4" s="28" t="s">
        <v>8</v>
      </c>
      <c r="K4" s="28" t="s">
        <v>8</v>
      </c>
      <c r="L4" s="29" t="s">
        <v>8</v>
      </c>
      <c r="M4" s="29" t="s">
        <v>8</v>
      </c>
      <c r="N4" s="29" t="s">
        <v>8</v>
      </c>
      <c r="O4" s="29" t="s">
        <v>50</v>
      </c>
      <c r="P4" s="221" t="s">
        <v>10</v>
      </c>
      <c r="Q4" s="128" t="s">
        <v>8</v>
      </c>
      <c r="R4" s="128" t="s">
        <v>8</v>
      </c>
      <c r="S4" s="128" t="s">
        <v>8</v>
      </c>
      <c r="T4" s="128" t="s">
        <v>8</v>
      </c>
      <c r="U4" s="128" t="s">
        <v>8</v>
      </c>
      <c r="V4" s="129" t="s">
        <v>50</v>
      </c>
      <c r="W4" s="123" t="s">
        <v>10</v>
      </c>
    </row>
    <row r="5" spans="1:23" ht="20.25" customHeight="1">
      <c r="A5" s="31"/>
      <c r="B5" s="32" t="s">
        <v>11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130"/>
      <c r="R5" s="130"/>
      <c r="S5" s="130"/>
      <c r="T5" s="131"/>
      <c r="U5" s="131"/>
      <c r="V5" s="131"/>
      <c r="W5" s="131"/>
    </row>
    <row r="6" spans="1:23" ht="20.25" customHeight="1">
      <c r="A6" s="34">
        <v>1</v>
      </c>
      <c r="B6" s="31" t="s">
        <v>51</v>
      </c>
      <c r="C6" s="18">
        <v>187.42</v>
      </c>
      <c r="D6" s="18">
        <v>228.11</v>
      </c>
      <c r="E6" s="18">
        <v>226.98</v>
      </c>
      <c r="F6" s="18">
        <v>399.92</v>
      </c>
      <c r="G6" s="18">
        <v>281.81</v>
      </c>
      <c r="H6" s="18">
        <v>271.83999999999997</v>
      </c>
      <c r="I6" s="18">
        <v>328.84</v>
      </c>
      <c r="J6" s="18">
        <v>3005.01</v>
      </c>
      <c r="K6" s="18">
        <v>3855.97</v>
      </c>
      <c r="L6" s="18">
        <v>4294.83</v>
      </c>
      <c r="M6" s="18">
        <v>5421.98</v>
      </c>
      <c r="N6" s="18">
        <v>5499.05</v>
      </c>
      <c r="O6" s="18">
        <v>5761.57</v>
      </c>
      <c r="P6" s="18">
        <v>8161.02</v>
      </c>
      <c r="Q6" s="132">
        <f t="shared" ref="Q6:Q17" si="0">C6/J6*100</f>
        <v>6.2369176808063855</v>
      </c>
      <c r="R6" s="132">
        <f t="shared" ref="R6:R17" si="1">D6/K6*100</f>
        <v>5.9157617927525381</v>
      </c>
      <c r="S6" s="132">
        <f t="shared" ref="S6:S17" si="2">E6/L6*100</f>
        <v>5.2849588924357889</v>
      </c>
      <c r="T6" s="132">
        <f>F6/M6*100</f>
        <v>7.3759032678099148</v>
      </c>
      <c r="U6" s="132">
        <f>G6/N6*100</f>
        <v>5.1247033578527192</v>
      </c>
      <c r="V6" s="132">
        <f>H6/O6*100</f>
        <v>4.718158418625479</v>
      </c>
      <c r="W6" s="132">
        <f>I6/P6*100</f>
        <v>4.029398285998564</v>
      </c>
    </row>
    <row r="7" spans="1:23" ht="20.25" customHeight="1">
      <c r="A7" s="34">
        <v>2</v>
      </c>
      <c r="B7" s="31" t="s">
        <v>13</v>
      </c>
      <c r="C7" s="18">
        <v>1512.74</v>
      </c>
      <c r="D7" s="18">
        <v>1590.06</v>
      </c>
      <c r="E7" s="18">
        <v>1832.58</v>
      </c>
      <c r="F7" s="18">
        <v>2074.5</v>
      </c>
      <c r="G7" s="18">
        <v>2313.67</v>
      </c>
      <c r="H7" s="18">
        <v>2114.91</v>
      </c>
      <c r="I7" s="18">
        <v>2510.15</v>
      </c>
      <c r="J7" s="18">
        <v>15324.93</v>
      </c>
      <c r="K7" s="18">
        <v>18076.71</v>
      </c>
      <c r="L7" s="18">
        <v>18935.61</v>
      </c>
      <c r="M7" s="18">
        <v>26555.11</v>
      </c>
      <c r="N7" s="18">
        <v>28815.39</v>
      </c>
      <c r="O7" s="18">
        <v>30691.3</v>
      </c>
      <c r="P7" s="18">
        <v>37688.47</v>
      </c>
      <c r="Q7" s="132">
        <f t="shared" si="0"/>
        <v>9.8711054471374418</v>
      </c>
      <c r="R7" s="132">
        <f t="shared" si="1"/>
        <v>8.7961802783803034</v>
      </c>
      <c r="S7" s="132">
        <f t="shared" si="2"/>
        <v>9.6779559781807922</v>
      </c>
      <c r="T7" s="132">
        <f t="shared" ref="T7:T42" si="3">F7/M7*100</f>
        <v>7.8120557587598016</v>
      </c>
      <c r="U7" s="132">
        <f t="shared" ref="U7:U42" si="4">G7/N7*100</f>
        <v>8.0292857393219403</v>
      </c>
      <c r="V7" s="132">
        <f t="shared" ref="V7:W42" si="5">H7/O7*100</f>
        <v>6.890910453450978</v>
      </c>
      <c r="W7" s="132">
        <f t="shared" si="5"/>
        <v>6.6602597558351402</v>
      </c>
    </row>
    <row r="8" spans="1:23" ht="20.25" customHeight="1">
      <c r="A8" s="34">
        <v>3</v>
      </c>
      <c r="B8" s="31" t="s">
        <v>14</v>
      </c>
      <c r="C8" s="18">
        <v>1702.71</v>
      </c>
      <c r="D8" s="18">
        <v>1893.57</v>
      </c>
      <c r="E8" s="18">
        <v>1955.85</v>
      </c>
      <c r="F8" s="18">
        <v>1949.77</v>
      </c>
      <c r="G8" s="18">
        <v>2129.6999999999998</v>
      </c>
      <c r="H8" s="18">
        <v>2369.9</v>
      </c>
      <c r="I8" s="18">
        <v>2431.4899999999998</v>
      </c>
      <c r="J8" s="18">
        <v>9141.5499999999993</v>
      </c>
      <c r="K8" s="18">
        <v>9307.99</v>
      </c>
      <c r="L8" s="18">
        <v>10346.36</v>
      </c>
      <c r="M8" s="18">
        <v>12710.6</v>
      </c>
      <c r="N8" s="18">
        <v>14542.87</v>
      </c>
      <c r="O8" s="18">
        <v>15598.12</v>
      </c>
      <c r="P8" s="18">
        <v>15506.69</v>
      </c>
      <c r="Q8" s="132">
        <f t="shared" si="0"/>
        <v>18.626053568596138</v>
      </c>
      <c r="R8" s="132">
        <f t="shared" si="1"/>
        <v>20.343489840448907</v>
      </c>
      <c r="S8" s="132">
        <f t="shared" si="2"/>
        <v>18.903749724540802</v>
      </c>
      <c r="T8" s="132">
        <f t="shared" si="3"/>
        <v>15.339716457130267</v>
      </c>
      <c r="U8" s="132">
        <f t="shared" si="4"/>
        <v>14.644289607209579</v>
      </c>
      <c r="V8" s="132">
        <f t="shared" si="5"/>
        <v>15.193497677925288</v>
      </c>
      <c r="W8" s="132">
        <f t="shared" si="5"/>
        <v>15.680264453600348</v>
      </c>
    </row>
    <row r="9" spans="1:23" ht="20.25" customHeight="1">
      <c r="A9" s="36">
        <v>4</v>
      </c>
      <c r="B9" s="37" t="s">
        <v>52</v>
      </c>
      <c r="C9" s="18">
        <v>2435.09</v>
      </c>
      <c r="D9" s="18">
        <v>1577.23</v>
      </c>
      <c r="E9" s="18">
        <v>2139.2399999999998</v>
      </c>
      <c r="F9" s="18">
        <v>2283</v>
      </c>
      <c r="G9" s="18">
        <v>2283.1799999999998</v>
      </c>
      <c r="H9" s="18">
        <v>2722.76</v>
      </c>
      <c r="I9" s="18">
        <v>3300</v>
      </c>
      <c r="J9" s="18">
        <v>13637.03</v>
      </c>
      <c r="K9" s="18">
        <v>14302.52</v>
      </c>
      <c r="L9" s="18">
        <v>17587.82</v>
      </c>
      <c r="M9" s="18">
        <v>222233.65</v>
      </c>
      <c r="N9" s="18">
        <v>24782.959999999999</v>
      </c>
      <c r="O9" s="18">
        <v>26216.86</v>
      </c>
      <c r="P9" s="18">
        <v>33969.96</v>
      </c>
      <c r="Q9" s="132">
        <f t="shared" si="0"/>
        <v>17.856454081277228</v>
      </c>
      <c r="R9" s="132">
        <f t="shared" si="1"/>
        <v>11.027637087729994</v>
      </c>
      <c r="S9" s="132">
        <f t="shared" si="2"/>
        <v>12.163190207768784</v>
      </c>
      <c r="T9" s="132">
        <f t="shared" si="3"/>
        <v>1.0272971712429688</v>
      </c>
      <c r="U9" s="132">
        <f t="shared" si="4"/>
        <v>9.2127009848702492</v>
      </c>
      <c r="V9" s="132">
        <f t="shared" si="5"/>
        <v>10.385530532641972</v>
      </c>
      <c r="W9" s="132">
        <f t="shared" si="5"/>
        <v>9.7144653688140927</v>
      </c>
    </row>
    <row r="10" spans="1:23" ht="20.25" customHeight="1">
      <c r="A10" s="34">
        <v>5</v>
      </c>
      <c r="B10" s="31" t="s">
        <v>16</v>
      </c>
      <c r="C10" s="18">
        <v>298.5</v>
      </c>
      <c r="D10" s="18">
        <v>313.83</v>
      </c>
      <c r="E10" s="18">
        <v>322.57</v>
      </c>
      <c r="F10" s="18">
        <v>364.78</v>
      </c>
      <c r="G10" s="18">
        <v>397.44</v>
      </c>
      <c r="H10" s="18">
        <v>433</v>
      </c>
      <c r="I10" s="18">
        <v>427.33</v>
      </c>
      <c r="J10" s="18">
        <v>3508.27</v>
      </c>
      <c r="K10" s="18">
        <v>3872.62</v>
      </c>
      <c r="L10" s="18">
        <v>3873.24</v>
      </c>
      <c r="M10" s="18">
        <v>5429.94</v>
      </c>
      <c r="N10" s="18">
        <v>5653.55</v>
      </c>
      <c r="O10" s="18">
        <v>6819.76</v>
      </c>
      <c r="P10" s="18">
        <v>8619.4699999999993</v>
      </c>
      <c r="Q10" s="132">
        <f t="shared" si="0"/>
        <v>8.5084671362238371</v>
      </c>
      <c r="R10" s="132">
        <f t="shared" si="1"/>
        <v>8.1038160211949517</v>
      </c>
      <c r="S10" s="132">
        <f t="shared" si="2"/>
        <v>8.3281696977207726</v>
      </c>
      <c r="T10" s="132">
        <f t="shared" si="3"/>
        <v>6.7179379514322441</v>
      </c>
      <c r="U10" s="132">
        <f t="shared" si="4"/>
        <v>7.0299192542738629</v>
      </c>
      <c r="V10" s="132">
        <f t="shared" si="5"/>
        <v>6.3491970391919947</v>
      </c>
      <c r="W10" s="132">
        <f t="shared" si="5"/>
        <v>4.9577294195582793</v>
      </c>
    </row>
    <row r="11" spans="1:23" ht="20.25" customHeight="1">
      <c r="A11" s="36">
        <v>6</v>
      </c>
      <c r="B11" s="37" t="s">
        <v>17</v>
      </c>
      <c r="C11" s="18">
        <v>188.99</v>
      </c>
      <c r="D11" s="18">
        <v>212.03</v>
      </c>
      <c r="E11" s="18">
        <v>233.96</v>
      </c>
      <c r="F11" s="18">
        <v>272.55</v>
      </c>
      <c r="G11" s="18">
        <v>285.67</v>
      </c>
      <c r="H11" s="18">
        <v>313.82</v>
      </c>
      <c r="I11" s="18">
        <v>354.19</v>
      </c>
      <c r="J11" s="18">
        <v>2441.38</v>
      </c>
      <c r="K11" s="18">
        <v>2810.64</v>
      </c>
      <c r="L11" s="18">
        <v>3447.34</v>
      </c>
      <c r="M11" s="18">
        <v>4260.4799999999996</v>
      </c>
      <c r="N11" s="18">
        <v>4654.47</v>
      </c>
      <c r="O11" s="18">
        <v>5536.35</v>
      </c>
      <c r="P11" s="18">
        <v>8583.39</v>
      </c>
      <c r="Q11" s="132">
        <f t="shared" si="0"/>
        <v>7.7411136324537759</v>
      </c>
      <c r="R11" s="132">
        <f t="shared" si="1"/>
        <v>7.5438334329547718</v>
      </c>
      <c r="S11" s="132">
        <f t="shared" si="2"/>
        <v>6.7866819054691438</v>
      </c>
      <c r="T11" s="132">
        <f t="shared" si="3"/>
        <v>6.397166516448852</v>
      </c>
      <c r="U11" s="132">
        <f t="shared" si="4"/>
        <v>6.1375409015419589</v>
      </c>
      <c r="V11" s="132">
        <f t="shared" si="5"/>
        <v>5.6683555049807177</v>
      </c>
      <c r="W11" s="132">
        <f t="shared" si="5"/>
        <v>4.1264581942565819</v>
      </c>
    </row>
    <row r="12" spans="1:23" s="38" customFormat="1" ht="20.25" customHeight="1">
      <c r="A12" s="36">
        <v>7</v>
      </c>
      <c r="B12" s="37" t="s">
        <v>18</v>
      </c>
      <c r="C12" s="18">
        <v>208.01</v>
      </c>
      <c r="D12" s="18">
        <v>225.61</v>
      </c>
      <c r="E12" s="18">
        <v>270.85000000000002</v>
      </c>
      <c r="F12" s="18">
        <v>105.58</v>
      </c>
      <c r="G12" s="18">
        <v>275.14999999999998</v>
      </c>
      <c r="H12" s="18">
        <v>288.14999999999998</v>
      </c>
      <c r="I12" s="18">
        <v>176.09</v>
      </c>
      <c r="J12" s="18">
        <v>2039.75</v>
      </c>
      <c r="K12" s="18">
        <v>2664.04</v>
      </c>
      <c r="L12" s="18">
        <v>2963.51</v>
      </c>
      <c r="M12" s="18">
        <v>2872.74</v>
      </c>
      <c r="N12" s="18">
        <v>3602.84</v>
      </c>
      <c r="O12" s="18">
        <v>5706.07</v>
      </c>
      <c r="P12" s="18">
        <v>5101.6000000000004</v>
      </c>
      <c r="Q12" s="132">
        <f t="shared" si="0"/>
        <v>10.197818360093148</v>
      </c>
      <c r="R12" s="132">
        <f t="shared" si="1"/>
        <v>8.4687166859356466</v>
      </c>
      <c r="S12" s="132">
        <f t="shared" si="2"/>
        <v>9.1395001197903838</v>
      </c>
      <c r="T12" s="132">
        <f t="shared" si="3"/>
        <v>3.6752368818619159</v>
      </c>
      <c r="U12" s="132">
        <f t="shared" si="4"/>
        <v>7.6370307868237273</v>
      </c>
      <c r="V12" s="132">
        <f t="shared" si="5"/>
        <v>5.0498854728385734</v>
      </c>
      <c r="W12" s="132">
        <f t="shared" si="5"/>
        <v>3.4516622236161205</v>
      </c>
    </row>
    <row r="13" spans="1:23" s="38" customFormat="1" ht="20.25" customHeight="1">
      <c r="A13" s="36">
        <v>8</v>
      </c>
      <c r="B13" s="37" t="s">
        <v>19</v>
      </c>
      <c r="C13" s="18">
        <v>270.45999999999998</v>
      </c>
      <c r="D13" s="18">
        <v>313.99</v>
      </c>
      <c r="E13" s="18">
        <v>362.51</v>
      </c>
      <c r="F13" s="18">
        <v>394.33</v>
      </c>
      <c r="G13" s="18">
        <v>417.39</v>
      </c>
      <c r="H13" s="18">
        <v>482.31</v>
      </c>
      <c r="I13" s="18">
        <v>538.78</v>
      </c>
      <c r="J13" s="18">
        <v>2996.01</v>
      </c>
      <c r="K13" s="18">
        <v>3378.67</v>
      </c>
      <c r="L13" s="18">
        <v>3748.63</v>
      </c>
      <c r="M13" s="18">
        <v>4999.99</v>
      </c>
      <c r="N13" s="18">
        <v>5586.38</v>
      </c>
      <c r="O13" s="18">
        <v>6448.15</v>
      </c>
      <c r="P13" s="18">
        <v>7295.18</v>
      </c>
      <c r="Q13" s="132">
        <f t="shared" si="0"/>
        <v>9.0273396951278517</v>
      </c>
      <c r="R13" s="132">
        <f t="shared" si="1"/>
        <v>9.2933018021884344</v>
      </c>
      <c r="S13" s="132">
        <f t="shared" si="2"/>
        <v>9.6704662770132011</v>
      </c>
      <c r="T13" s="132">
        <f t="shared" si="3"/>
        <v>7.8866157732315463</v>
      </c>
      <c r="U13" s="132">
        <f t="shared" si="4"/>
        <v>7.471564770029965</v>
      </c>
      <c r="V13" s="132">
        <f t="shared" si="5"/>
        <v>7.4798197932740411</v>
      </c>
      <c r="W13" s="132">
        <f t="shared" si="5"/>
        <v>7.3854243486795381</v>
      </c>
    </row>
    <row r="14" spans="1:23" ht="20.25" customHeight="1">
      <c r="A14" s="34">
        <v>9</v>
      </c>
      <c r="B14" s="31" t="s">
        <v>20</v>
      </c>
      <c r="C14" s="18">
        <v>117.74</v>
      </c>
      <c r="D14" s="18">
        <v>142.63999999999999</v>
      </c>
      <c r="E14" s="18">
        <v>154.43</v>
      </c>
      <c r="F14" s="18">
        <v>186.77</v>
      </c>
      <c r="G14" s="18">
        <v>190.83</v>
      </c>
      <c r="H14" s="18">
        <v>198.92</v>
      </c>
      <c r="I14" s="18">
        <v>206.5</v>
      </c>
      <c r="J14" s="18">
        <v>1497.72</v>
      </c>
      <c r="K14" s="18">
        <v>1758.19</v>
      </c>
      <c r="L14" s="18">
        <v>2345.37</v>
      </c>
      <c r="M14" s="18">
        <v>2151.69</v>
      </c>
      <c r="N14" s="18">
        <v>2872.11</v>
      </c>
      <c r="O14" s="18">
        <v>3288.36</v>
      </c>
      <c r="P14" s="18">
        <v>4259.92</v>
      </c>
      <c r="Q14" s="132">
        <f t="shared" si="0"/>
        <v>7.8612824827070478</v>
      </c>
      <c r="R14" s="132">
        <f t="shared" si="1"/>
        <v>8.1128888231647309</v>
      </c>
      <c r="S14" s="132">
        <f t="shared" si="2"/>
        <v>6.5844621530931162</v>
      </c>
      <c r="T14" s="132">
        <f t="shared" si="3"/>
        <v>8.6801537396186266</v>
      </c>
      <c r="U14" s="132">
        <f t="shared" si="4"/>
        <v>6.6442441271399773</v>
      </c>
      <c r="V14" s="132">
        <f t="shared" si="5"/>
        <v>6.0492160225766023</v>
      </c>
      <c r="W14" s="132">
        <f t="shared" si="5"/>
        <v>4.8475088734060732</v>
      </c>
    </row>
    <row r="15" spans="1:23" ht="20.25" customHeight="1">
      <c r="A15" s="36">
        <v>10</v>
      </c>
      <c r="B15" s="37" t="s">
        <v>21</v>
      </c>
      <c r="C15" s="18">
        <v>395.76</v>
      </c>
      <c r="D15" s="18">
        <v>394.29</v>
      </c>
      <c r="E15" s="18">
        <v>408.51</v>
      </c>
      <c r="F15" s="18">
        <v>447.32</v>
      </c>
      <c r="G15" s="18">
        <v>493.27</v>
      </c>
      <c r="H15" s="18">
        <v>532.80999999999995</v>
      </c>
      <c r="I15" s="18">
        <v>600</v>
      </c>
      <c r="J15" s="18">
        <v>3698.34</v>
      </c>
      <c r="K15" s="18">
        <v>4076.78</v>
      </c>
      <c r="L15" s="18">
        <v>4401.3500000000004</v>
      </c>
      <c r="M15" s="18">
        <v>5168.6099999999997</v>
      </c>
      <c r="N15" s="18">
        <v>6476.9</v>
      </c>
      <c r="O15" s="18">
        <v>7050.3</v>
      </c>
      <c r="P15" s="18">
        <v>8134.68</v>
      </c>
      <c r="Q15" s="132">
        <f t="shared" si="0"/>
        <v>10.701017213128052</v>
      </c>
      <c r="R15" s="132">
        <f t="shared" si="1"/>
        <v>9.671603569483759</v>
      </c>
      <c r="S15" s="132">
        <f t="shared" si="2"/>
        <v>9.2814704579276803</v>
      </c>
      <c r="T15" s="132">
        <f t="shared" si="3"/>
        <v>8.6545512236365294</v>
      </c>
      <c r="U15" s="132">
        <f t="shared" si="4"/>
        <v>7.6158347357532161</v>
      </c>
      <c r="V15" s="132">
        <f t="shared" si="5"/>
        <v>7.5572670666496453</v>
      </c>
      <c r="W15" s="132">
        <f t="shared" si="5"/>
        <v>7.3758279366858925</v>
      </c>
    </row>
    <row r="16" spans="1:23" ht="20.25" customHeight="1">
      <c r="A16" s="34">
        <v>11</v>
      </c>
      <c r="B16" s="31" t="s">
        <v>22</v>
      </c>
      <c r="C16" s="18">
        <v>1095.93</v>
      </c>
      <c r="D16" s="18">
        <v>1187.51</v>
      </c>
      <c r="E16" s="18">
        <v>1337.97</v>
      </c>
      <c r="F16" s="18">
        <v>1479.58</v>
      </c>
      <c r="G16" s="18">
        <v>1769.21</v>
      </c>
      <c r="H16" s="18">
        <v>2088.73</v>
      </c>
      <c r="I16" s="18">
        <v>2540.85</v>
      </c>
      <c r="J16" s="18">
        <v>7891.09</v>
      </c>
      <c r="K16" s="18">
        <v>8634.89</v>
      </c>
      <c r="L16" s="18">
        <v>9486.1299999999992</v>
      </c>
      <c r="M16" s="18">
        <v>11608.16</v>
      </c>
      <c r="N16" s="18">
        <v>13691.41</v>
      </c>
      <c r="O16" s="18">
        <v>15747.22</v>
      </c>
      <c r="P16" s="18">
        <v>9079.64</v>
      </c>
      <c r="Q16" s="132">
        <f t="shared" si="0"/>
        <v>13.888195420404534</v>
      </c>
      <c r="R16" s="132">
        <f t="shared" si="1"/>
        <v>13.752462393846363</v>
      </c>
      <c r="S16" s="132">
        <f t="shared" si="2"/>
        <v>14.104487288283</v>
      </c>
      <c r="T16" s="132">
        <f t="shared" si="3"/>
        <v>12.746033824482089</v>
      </c>
      <c r="U16" s="132">
        <f t="shared" si="4"/>
        <v>12.922043821637072</v>
      </c>
      <c r="V16" s="132">
        <f t="shared" si="5"/>
        <v>13.264119000052075</v>
      </c>
      <c r="W16" s="132">
        <f t="shared" si="5"/>
        <v>27.984039014762701</v>
      </c>
    </row>
    <row r="17" spans="1:23" s="39" customFormat="1" ht="20.25" customHeight="1">
      <c r="A17" s="32"/>
      <c r="B17" s="32" t="s">
        <v>23</v>
      </c>
      <c r="C17" s="66">
        <f t="shared" ref="C17:K17" si="6">SUM(C6:C16)</f>
        <v>8413.35</v>
      </c>
      <c r="D17" s="66">
        <f t="shared" si="6"/>
        <v>8078.869999999999</v>
      </c>
      <c r="E17" s="66">
        <f>SUM(E6:E16)</f>
        <v>9245.4500000000007</v>
      </c>
      <c r="F17" s="66">
        <f>SUM(F6:F16)</f>
        <v>9958.1</v>
      </c>
      <c r="G17" s="66">
        <f>SUM(G6:G16)</f>
        <v>10837.32</v>
      </c>
      <c r="H17" s="66">
        <f>SUM(H6:H16)</f>
        <v>11817.149999999998</v>
      </c>
      <c r="I17" s="66">
        <f>SUM(I6:I16)</f>
        <v>13414.220000000001</v>
      </c>
      <c r="J17" s="66">
        <f t="shared" si="6"/>
        <v>65181.08</v>
      </c>
      <c r="K17" s="66">
        <f t="shared" si="6"/>
        <v>72739.02</v>
      </c>
      <c r="L17" s="66">
        <f>SUM(L6:L16)</f>
        <v>81430.19</v>
      </c>
      <c r="M17" s="66">
        <f>SUM(M6:M16)</f>
        <v>303412.9499999999</v>
      </c>
      <c r="N17" s="66">
        <f>SUM(N6:N16)</f>
        <v>116177.93000000001</v>
      </c>
      <c r="O17" s="66">
        <f>SUM(O6:O16)</f>
        <v>128864.06</v>
      </c>
      <c r="P17" s="66">
        <f>SUM(P6:P16)</f>
        <v>146400.02000000002</v>
      </c>
      <c r="Q17" s="133">
        <f t="shared" si="0"/>
        <v>12.907656639012425</v>
      </c>
      <c r="R17" s="133">
        <f t="shared" si="1"/>
        <v>11.10665224799564</v>
      </c>
      <c r="S17" s="133">
        <f t="shared" si="2"/>
        <v>11.353835721125053</v>
      </c>
      <c r="T17" s="133">
        <f t="shared" si="3"/>
        <v>3.2820286675305073</v>
      </c>
      <c r="U17" s="133">
        <f t="shared" si="4"/>
        <v>9.3282088947530735</v>
      </c>
      <c r="V17" s="133">
        <f t="shared" si="5"/>
        <v>9.1702449852969075</v>
      </c>
      <c r="W17" s="133">
        <f t="shared" si="5"/>
        <v>9.1627173274976332</v>
      </c>
    </row>
    <row r="18" spans="1:23" s="39" customFormat="1" ht="20.25" customHeight="1">
      <c r="A18" s="32"/>
      <c r="B18" s="32" t="s">
        <v>189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132"/>
      <c r="R18" s="132"/>
      <c r="S18" s="132"/>
      <c r="T18" s="132"/>
      <c r="U18" s="132"/>
      <c r="V18" s="132"/>
      <c r="W18" s="132"/>
    </row>
    <row r="19" spans="1:23" ht="20.25" customHeight="1">
      <c r="A19" s="34">
        <v>12</v>
      </c>
      <c r="B19" s="31" t="s">
        <v>25</v>
      </c>
      <c r="C19" s="18">
        <v>7288.72</v>
      </c>
      <c r="D19" s="18">
        <v>8057.12</v>
      </c>
      <c r="E19" s="18">
        <v>8913.59</v>
      </c>
      <c r="F19" s="18">
        <v>9674.94</v>
      </c>
      <c r="G19" s="18">
        <v>10560.77</v>
      </c>
      <c r="H19" s="18">
        <v>11661.86</v>
      </c>
      <c r="I19" s="18">
        <v>14518.73</v>
      </c>
      <c r="J19" s="18">
        <v>54142.55</v>
      </c>
      <c r="K19" s="18">
        <v>62858.45</v>
      </c>
      <c r="L19" s="18">
        <v>64678.35</v>
      </c>
      <c r="M19" s="18">
        <v>80996.3</v>
      </c>
      <c r="N19" s="18">
        <v>93553.69</v>
      </c>
      <c r="O19" s="18">
        <v>103830.28</v>
      </c>
      <c r="P19" s="18">
        <v>127772.19</v>
      </c>
      <c r="Q19" s="132">
        <f t="shared" ref="Q19:Q36" si="7">C19/J19*100</f>
        <v>13.462092199203768</v>
      </c>
      <c r="R19" s="132">
        <f t="shared" ref="R19:R36" si="8">D19/K19*100</f>
        <v>12.817878900927401</v>
      </c>
      <c r="S19" s="132">
        <f t="shared" ref="S19:S36" si="9">E19/L19*100</f>
        <v>13.781412172697665</v>
      </c>
      <c r="T19" s="132">
        <f t="shared" si="3"/>
        <v>11.944916002335908</v>
      </c>
      <c r="U19" s="132">
        <f t="shared" si="4"/>
        <v>11.288459065591107</v>
      </c>
      <c r="V19" s="132">
        <f t="shared" si="5"/>
        <v>11.231656121894309</v>
      </c>
      <c r="W19" s="132">
        <f t="shared" si="5"/>
        <v>11.362981255936836</v>
      </c>
    </row>
    <row r="20" spans="1:23" ht="20.25" customHeight="1">
      <c r="A20" s="34">
        <v>13</v>
      </c>
      <c r="B20" s="31" t="s">
        <v>26</v>
      </c>
      <c r="C20" s="18">
        <v>3706.99</v>
      </c>
      <c r="D20" s="18">
        <v>3752.94</v>
      </c>
      <c r="E20" s="18">
        <v>3685.48</v>
      </c>
      <c r="F20" s="18">
        <v>4319.16</v>
      </c>
      <c r="G20" s="18">
        <v>4303.6499999999996</v>
      </c>
      <c r="H20" s="18">
        <v>4428.3100000000004</v>
      </c>
      <c r="I20" s="18">
        <v>5887.97</v>
      </c>
      <c r="J20" s="18">
        <v>28209.72</v>
      </c>
      <c r="K20" s="18">
        <v>32980.69</v>
      </c>
      <c r="L20" s="18">
        <v>35526.83</v>
      </c>
      <c r="M20" s="18">
        <v>44532.32</v>
      </c>
      <c r="N20" s="18">
        <v>51320.17</v>
      </c>
      <c r="O20" s="18">
        <v>59566.66</v>
      </c>
      <c r="P20" s="18">
        <v>80066.47</v>
      </c>
      <c r="Q20" s="132">
        <f t="shared" si="7"/>
        <v>13.140825219108873</v>
      </c>
      <c r="R20" s="132">
        <f t="shared" si="8"/>
        <v>11.379204013014888</v>
      </c>
      <c r="S20" s="132">
        <f t="shared" si="9"/>
        <v>10.373793552647394</v>
      </c>
      <c r="T20" s="132">
        <f t="shared" si="3"/>
        <v>9.6989332691402552</v>
      </c>
      <c r="U20" s="132">
        <f t="shared" si="4"/>
        <v>8.3858841465256262</v>
      </c>
      <c r="V20" s="132">
        <f t="shared" si="5"/>
        <v>7.4342090021498608</v>
      </c>
      <c r="W20" s="132">
        <f t="shared" si="5"/>
        <v>7.3538523679138104</v>
      </c>
    </row>
    <row r="21" spans="1:23" ht="20.25" customHeight="1">
      <c r="A21" s="34">
        <v>14</v>
      </c>
      <c r="B21" s="31" t="s">
        <v>27</v>
      </c>
      <c r="C21" s="18">
        <v>1140.17</v>
      </c>
      <c r="D21" s="18">
        <v>1077.53</v>
      </c>
      <c r="E21" s="18">
        <v>1094.8599999999999</v>
      </c>
      <c r="F21" s="18">
        <v>1198.3699999999999</v>
      </c>
      <c r="G21" s="18">
        <v>1193.2</v>
      </c>
      <c r="H21" s="18">
        <v>1153.48</v>
      </c>
      <c r="I21" s="18">
        <v>1246.43</v>
      </c>
      <c r="J21" s="18">
        <v>13878.66</v>
      </c>
      <c r="K21" s="18">
        <v>15662.76</v>
      </c>
      <c r="L21" s="18">
        <v>18153.64</v>
      </c>
      <c r="M21" s="18">
        <v>22719.54</v>
      </c>
      <c r="N21" s="18">
        <v>25867.39</v>
      </c>
      <c r="O21" s="18">
        <v>29578.04</v>
      </c>
      <c r="P21" s="18">
        <v>37444.519999999997</v>
      </c>
      <c r="Q21" s="132">
        <f t="shared" si="7"/>
        <v>8.2152743852792707</v>
      </c>
      <c r="R21" s="132">
        <f t="shared" si="8"/>
        <v>6.8795665642581509</v>
      </c>
      <c r="S21" s="132">
        <f t="shared" si="9"/>
        <v>6.0310769630773766</v>
      </c>
      <c r="T21" s="132">
        <f t="shared" si="3"/>
        <v>5.2746226376062184</v>
      </c>
      <c r="U21" s="132">
        <f t="shared" si="4"/>
        <v>4.6127576071648519</v>
      </c>
      <c r="V21" s="132">
        <f t="shared" si="5"/>
        <v>3.8997851108457491</v>
      </c>
      <c r="W21" s="132">
        <f t="shared" si="5"/>
        <v>3.3287380903801149</v>
      </c>
    </row>
    <row r="22" spans="1:23" ht="20.25" customHeight="1">
      <c r="A22" s="36">
        <v>15</v>
      </c>
      <c r="B22" s="37" t="s">
        <v>28</v>
      </c>
      <c r="C22" s="18">
        <v>447</v>
      </c>
      <c r="D22" s="18">
        <v>424</v>
      </c>
      <c r="E22" s="18">
        <v>582.62</v>
      </c>
      <c r="F22" s="18">
        <v>650</v>
      </c>
      <c r="G22" s="18">
        <v>690</v>
      </c>
      <c r="H22" s="18">
        <v>750</v>
      </c>
      <c r="I22" s="18">
        <v>830</v>
      </c>
      <c r="J22" s="18">
        <v>2313.85</v>
      </c>
      <c r="K22" s="18">
        <v>2721.99</v>
      </c>
      <c r="L22" s="18">
        <v>3301.3</v>
      </c>
      <c r="M22" s="18">
        <v>5440</v>
      </c>
      <c r="N22" s="18">
        <v>6050</v>
      </c>
      <c r="O22" s="18">
        <v>7040</v>
      </c>
      <c r="P22" s="18">
        <v>7306.74</v>
      </c>
      <c r="Q22" s="132">
        <f t="shared" si="7"/>
        <v>19.318451930764745</v>
      </c>
      <c r="R22" s="132">
        <f t="shared" si="8"/>
        <v>15.576839003817062</v>
      </c>
      <c r="S22" s="132">
        <f t="shared" si="9"/>
        <v>17.648199194256808</v>
      </c>
      <c r="T22" s="132">
        <f t="shared" si="3"/>
        <v>11.948529411764707</v>
      </c>
      <c r="U22" s="132">
        <f t="shared" si="4"/>
        <v>11.404958677685951</v>
      </c>
      <c r="V22" s="132">
        <f t="shared" si="5"/>
        <v>10.653409090909092</v>
      </c>
      <c r="W22" s="132">
        <f t="shared" si="5"/>
        <v>11.359375042768733</v>
      </c>
    </row>
    <row r="23" spans="1:23" ht="20.25" customHeight="1">
      <c r="A23" s="36">
        <v>16</v>
      </c>
      <c r="B23" s="37" t="s">
        <v>29</v>
      </c>
      <c r="C23" s="18">
        <v>7484.45</v>
      </c>
      <c r="D23" s="18">
        <v>7884.05</v>
      </c>
      <c r="E23" s="18">
        <v>8590.09</v>
      </c>
      <c r="F23" s="18">
        <v>9630</v>
      </c>
      <c r="G23" s="18">
        <v>10950</v>
      </c>
      <c r="H23" s="18">
        <v>12460</v>
      </c>
      <c r="I23" s="18">
        <v>13660</v>
      </c>
      <c r="J23" s="18">
        <v>35330.870000000003</v>
      </c>
      <c r="K23" s="18">
        <v>38276.519999999997</v>
      </c>
      <c r="L23" s="18">
        <v>40171.68</v>
      </c>
      <c r="M23" s="18">
        <v>52370</v>
      </c>
      <c r="N23" s="18">
        <v>62290</v>
      </c>
      <c r="O23" s="18">
        <v>75900</v>
      </c>
      <c r="P23" s="18">
        <v>85752.03</v>
      </c>
      <c r="Q23" s="132">
        <f t="shared" si="7"/>
        <v>21.183882536716471</v>
      </c>
      <c r="R23" s="132">
        <f t="shared" si="8"/>
        <v>20.597614412177496</v>
      </c>
      <c r="S23" s="132">
        <f t="shared" si="9"/>
        <v>21.383447244426922</v>
      </c>
      <c r="T23" s="132">
        <f t="shared" si="3"/>
        <v>18.388390299789954</v>
      </c>
      <c r="U23" s="132">
        <f t="shared" si="4"/>
        <v>17.579065660619683</v>
      </c>
      <c r="V23" s="132">
        <f t="shared" si="5"/>
        <v>16.4163372859025</v>
      </c>
      <c r="W23" s="132">
        <f t="shared" si="5"/>
        <v>15.92965204438892</v>
      </c>
    </row>
    <row r="24" spans="1:23" ht="20.25" customHeight="1">
      <c r="A24" s="36">
        <v>17</v>
      </c>
      <c r="B24" s="37" t="s">
        <v>30</v>
      </c>
      <c r="C24" s="18">
        <v>2346</v>
      </c>
      <c r="D24" s="18">
        <v>2339</v>
      </c>
      <c r="E24" s="18">
        <v>2736</v>
      </c>
      <c r="F24" s="18">
        <v>3319</v>
      </c>
      <c r="G24" s="18">
        <v>4001</v>
      </c>
      <c r="H24" s="18">
        <v>4744</v>
      </c>
      <c r="I24" s="18">
        <v>6300</v>
      </c>
      <c r="J24" s="18">
        <v>19751</v>
      </c>
      <c r="K24" s="18">
        <v>18452</v>
      </c>
      <c r="L24" s="18">
        <v>20993</v>
      </c>
      <c r="M24" s="18">
        <v>25564</v>
      </c>
      <c r="N24" s="18">
        <v>30558</v>
      </c>
      <c r="O24" s="18">
        <v>33633</v>
      </c>
      <c r="P24" s="18">
        <v>43780.33</v>
      </c>
      <c r="Q24" s="132">
        <f t="shared" si="7"/>
        <v>11.877879601032859</v>
      </c>
      <c r="R24" s="132">
        <f t="shared" si="8"/>
        <v>12.676132668545414</v>
      </c>
      <c r="S24" s="132">
        <f t="shared" si="9"/>
        <v>13.032915733816033</v>
      </c>
      <c r="T24" s="132">
        <f t="shared" si="3"/>
        <v>12.983101236113285</v>
      </c>
      <c r="U24" s="132">
        <f t="shared" si="4"/>
        <v>13.093134367432423</v>
      </c>
      <c r="V24" s="132">
        <f t="shared" si="5"/>
        <v>14.105194303214105</v>
      </c>
      <c r="W24" s="132">
        <f t="shared" si="5"/>
        <v>14.390024013067054</v>
      </c>
    </row>
    <row r="25" spans="1:23" ht="20.25" customHeight="1">
      <c r="A25" s="34">
        <v>18</v>
      </c>
      <c r="B25" s="31" t="s">
        <v>31</v>
      </c>
      <c r="C25" s="18">
        <v>1758.03</v>
      </c>
      <c r="D25" s="18">
        <v>1886.88</v>
      </c>
      <c r="E25" s="18">
        <v>2307.4499999999998</v>
      </c>
      <c r="F25" s="18">
        <v>2227.54</v>
      </c>
      <c r="G25" s="18">
        <v>2267.08</v>
      </c>
      <c r="H25" s="18">
        <v>2391.25</v>
      </c>
      <c r="I25" s="18">
        <v>2474.64</v>
      </c>
      <c r="J25" s="18">
        <v>12026.35</v>
      </c>
      <c r="K25" s="18">
        <v>13205.88</v>
      </c>
      <c r="L25" s="18">
        <v>15118.46</v>
      </c>
      <c r="M25" s="18">
        <v>18781.12</v>
      </c>
      <c r="N25" s="18">
        <v>22419.45</v>
      </c>
      <c r="O25" s="18">
        <v>24769.56</v>
      </c>
      <c r="P25" s="18">
        <v>33598.9</v>
      </c>
      <c r="Q25" s="132">
        <f t="shared" si="7"/>
        <v>14.618150976813412</v>
      </c>
      <c r="R25" s="132">
        <f t="shared" si="8"/>
        <v>14.288180719497682</v>
      </c>
      <c r="S25" s="132">
        <f t="shared" si="9"/>
        <v>15.262467208961757</v>
      </c>
      <c r="T25" s="132">
        <f t="shared" si="3"/>
        <v>11.860528019628223</v>
      </c>
      <c r="U25" s="132">
        <f t="shared" si="4"/>
        <v>10.112112473767198</v>
      </c>
      <c r="V25" s="132">
        <f t="shared" si="5"/>
        <v>9.6539865867621373</v>
      </c>
      <c r="W25" s="132">
        <f t="shared" si="5"/>
        <v>7.365241123965367</v>
      </c>
    </row>
    <row r="26" spans="1:23" ht="20.25" customHeight="1">
      <c r="A26" s="34">
        <v>19</v>
      </c>
      <c r="B26" s="31" t="s">
        <v>32</v>
      </c>
      <c r="C26" s="18">
        <v>4506</v>
      </c>
      <c r="D26" s="18">
        <v>4532.03</v>
      </c>
      <c r="E26" s="18">
        <v>5212.91</v>
      </c>
      <c r="F26" s="18">
        <v>5641</v>
      </c>
      <c r="G26" s="18">
        <v>6062</v>
      </c>
      <c r="H26" s="18">
        <v>6833</v>
      </c>
      <c r="I26" s="18">
        <v>8500</v>
      </c>
      <c r="J26" s="18">
        <v>41151</v>
      </c>
      <c r="K26" s="18">
        <v>43291</v>
      </c>
      <c r="L26" s="18">
        <v>49156</v>
      </c>
      <c r="M26" s="18">
        <v>58206</v>
      </c>
      <c r="N26" s="18">
        <v>69806</v>
      </c>
      <c r="O26" s="18">
        <v>78176</v>
      </c>
      <c r="P26" s="18">
        <v>97986</v>
      </c>
      <c r="Q26" s="132">
        <f t="shared" si="7"/>
        <v>10.949916162426186</v>
      </c>
      <c r="R26" s="132">
        <f t="shared" si="8"/>
        <v>10.468757940449516</v>
      </c>
      <c r="S26" s="132">
        <f t="shared" si="9"/>
        <v>10.604829522337049</v>
      </c>
      <c r="T26" s="132">
        <f t="shared" si="3"/>
        <v>9.691440744940385</v>
      </c>
      <c r="U26" s="132">
        <f t="shared" si="4"/>
        <v>8.6840672721542553</v>
      </c>
      <c r="V26" s="132">
        <f t="shared" si="5"/>
        <v>8.74053417928776</v>
      </c>
      <c r="W26" s="132">
        <f t="shared" si="5"/>
        <v>8.6747086318453661</v>
      </c>
    </row>
    <row r="27" spans="1:23" ht="20.25" customHeight="1">
      <c r="A27" s="34">
        <v>20</v>
      </c>
      <c r="B27" s="31" t="s">
        <v>33</v>
      </c>
      <c r="C27" s="18">
        <v>4329.6499999999996</v>
      </c>
      <c r="D27" s="18">
        <v>4659.6899999999996</v>
      </c>
      <c r="E27" s="18">
        <v>5292.48</v>
      </c>
      <c r="F27" s="18">
        <v>5689.66</v>
      </c>
      <c r="G27" s="18">
        <v>4293.6000000000004</v>
      </c>
      <c r="H27" s="18">
        <v>7234.33</v>
      </c>
      <c r="I27" s="18">
        <v>8100.36</v>
      </c>
      <c r="J27" s="18">
        <v>21106.79</v>
      </c>
      <c r="K27" s="18">
        <v>24512.18</v>
      </c>
      <c r="L27" s="18">
        <v>26109.4</v>
      </c>
      <c r="M27" s="18">
        <v>30990.44</v>
      </c>
      <c r="N27" s="18">
        <v>38000.36</v>
      </c>
      <c r="O27" s="18">
        <v>48141.59</v>
      </c>
      <c r="P27" s="18">
        <v>49447.35</v>
      </c>
      <c r="Q27" s="132">
        <f t="shared" si="7"/>
        <v>20.513067122001967</v>
      </c>
      <c r="R27" s="132">
        <f t="shared" si="8"/>
        <v>19.009692324387302</v>
      </c>
      <c r="S27" s="132">
        <f t="shared" si="9"/>
        <v>20.270400698598969</v>
      </c>
      <c r="T27" s="132">
        <f t="shared" si="3"/>
        <v>18.359403738701356</v>
      </c>
      <c r="U27" s="132">
        <f t="shared" si="4"/>
        <v>11.298840326775853</v>
      </c>
      <c r="V27" s="132">
        <f t="shared" si="5"/>
        <v>15.027193742458444</v>
      </c>
      <c r="W27" s="132">
        <f t="shared" si="5"/>
        <v>16.381787901677239</v>
      </c>
    </row>
    <row r="28" spans="1:23" ht="20.25" customHeight="1">
      <c r="A28" s="34">
        <v>21</v>
      </c>
      <c r="B28" s="31" t="s">
        <v>34</v>
      </c>
      <c r="C28" s="18">
        <v>4190.7700000000004</v>
      </c>
      <c r="D28" s="18">
        <v>4191.99</v>
      </c>
      <c r="E28" s="18">
        <v>4454.3</v>
      </c>
      <c r="F28" s="18">
        <v>5048.95</v>
      </c>
      <c r="G28" s="18">
        <v>5299.77</v>
      </c>
      <c r="H28" s="18">
        <v>5573.74</v>
      </c>
      <c r="I28" s="18">
        <v>6518.52</v>
      </c>
      <c r="J28" s="18">
        <v>30688.73</v>
      </c>
      <c r="K28" s="18">
        <v>33577.21</v>
      </c>
      <c r="L28" s="18">
        <v>41394.699999999997</v>
      </c>
      <c r="M28" s="18">
        <v>51854.18</v>
      </c>
      <c r="N28" s="18">
        <v>62604.08</v>
      </c>
      <c r="O28" s="18">
        <v>70427.289999999994</v>
      </c>
      <c r="P28" s="18">
        <v>79603.47</v>
      </c>
      <c r="Q28" s="132">
        <f t="shared" si="7"/>
        <v>13.655729644074551</v>
      </c>
      <c r="R28" s="132">
        <f t="shared" si="8"/>
        <v>12.484628710961989</v>
      </c>
      <c r="S28" s="132">
        <f t="shared" si="9"/>
        <v>10.760556303101607</v>
      </c>
      <c r="T28" s="132">
        <f t="shared" si="3"/>
        <v>9.7368235309091755</v>
      </c>
      <c r="U28" s="132">
        <f t="shared" si="4"/>
        <v>8.4655345146833891</v>
      </c>
      <c r="V28" s="132">
        <f t="shared" si="5"/>
        <v>7.9141764506344066</v>
      </c>
      <c r="W28" s="132">
        <f t="shared" si="5"/>
        <v>8.1887385059972893</v>
      </c>
    </row>
    <row r="29" spans="1:23" ht="20.25" customHeight="1">
      <c r="A29" s="34">
        <v>22</v>
      </c>
      <c r="B29" s="31" t="s">
        <v>35</v>
      </c>
      <c r="C29" s="18">
        <v>12204.01</v>
      </c>
      <c r="D29" s="18">
        <v>12299.31</v>
      </c>
      <c r="E29" s="18">
        <v>14110.5</v>
      </c>
      <c r="F29" s="18">
        <v>15647.97</v>
      </c>
      <c r="G29" s="18">
        <v>17504.63</v>
      </c>
      <c r="H29" s="18">
        <v>18522.78</v>
      </c>
      <c r="I29" s="18">
        <v>21100</v>
      </c>
      <c r="J29" s="18">
        <v>79583.16</v>
      </c>
      <c r="K29" s="18">
        <v>81270.7</v>
      </c>
      <c r="L29" s="18">
        <v>86910.29</v>
      </c>
      <c r="M29" s="18">
        <v>105867.82</v>
      </c>
      <c r="N29" s="18">
        <v>121286.14</v>
      </c>
      <c r="O29" s="18">
        <v>136711.70000000001</v>
      </c>
      <c r="P29" s="18">
        <v>155986.95000000001</v>
      </c>
      <c r="Q29" s="132">
        <f t="shared" si="7"/>
        <v>15.334915074998278</v>
      </c>
      <c r="R29" s="132">
        <f t="shared" si="8"/>
        <v>15.133756692141201</v>
      </c>
      <c r="S29" s="132">
        <f t="shared" si="9"/>
        <v>16.235706957139367</v>
      </c>
      <c r="T29" s="132">
        <f t="shared" si="3"/>
        <v>14.78066706200241</v>
      </c>
      <c r="U29" s="132">
        <f t="shared" si="4"/>
        <v>14.432506467762929</v>
      </c>
      <c r="V29" s="132">
        <f t="shared" si="5"/>
        <v>13.548789167276828</v>
      </c>
      <c r="W29" s="132">
        <f t="shared" si="5"/>
        <v>13.52677259219441</v>
      </c>
    </row>
    <row r="30" spans="1:23" ht="20.25" customHeight="1">
      <c r="A30" s="34">
        <v>23</v>
      </c>
      <c r="B30" s="31" t="s">
        <v>74</v>
      </c>
      <c r="C30" s="18">
        <v>3169.48</v>
      </c>
      <c r="D30" s="18">
        <v>2889.81</v>
      </c>
      <c r="E30" s="18">
        <v>3044.17</v>
      </c>
      <c r="F30" s="18">
        <v>3061.46</v>
      </c>
      <c r="G30" s="18">
        <v>2576.4299999999998</v>
      </c>
      <c r="H30" s="18">
        <v>2807.23</v>
      </c>
      <c r="I30" s="18">
        <v>5007.8599999999997</v>
      </c>
      <c r="J30" s="18">
        <v>21967.19</v>
      </c>
      <c r="K30" s="18">
        <v>24610.01</v>
      </c>
      <c r="L30" s="18">
        <v>26430.21</v>
      </c>
      <c r="M30" s="18">
        <v>33276.160000000003</v>
      </c>
      <c r="N30" s="18">
        <v>40267.01</v>
      </c>
      <c r="O30" s="18">
        <v>43936.9</v>
      </c>
      <c r="P30" s="18">
        <v>51298.98</v>
      </c>
      <c r="Q30" s="132">
        <f t="shared" si="7"/>
        <v>14.428245032705595</v>
      </c>
      <c r="R30" s="132">
        <f t="shared" si="8"/>
        <v>11.74241700836367</v>
      </c>
      <c r="S30" s="132">
        <f t="shared" si="9"/>
        <v>11.517766979528352</v>
      </c>
      <c r="T30" s="132">
        <f t="shared" si="3"/>
        <v>9.2001601146286092</v>
      </c>
      <c r="U30" s="132">
        <f t="shared" si="4"/>
        <v>6.3983643185823817</v>
      </c>
      <c r="V30" s="132">
        <f t="shared" si="5"/>
        <v>6.3892309197963444</v>
      </c>
      <c r="W30" s="132">
        <f t="shared" si="5"/>
        <v>9.7621044317060477</v>
      </c>
    </row>
    <row r="31" spans="1:23" ht="20.25" customHeight="1">
      <c r="A31" s="34">
        <v>24</v>
      </c>
      <c r="B31" s="31" t="s">
        <v>36</v>
      </c>
      <c r="C31" s="18">
        <v>4526.92</v>
      </c>
      <c r="D31" s="18">
        <v>4901.68</v>
      </c>
      <c r="E31" s="18">
        <v>5010.99</v>
      </c>
      <c r="F31" s="18">
        <v>5515.11</v>
      </c>
      <c r="G31" s="18">
        <v>6280.02</v>
      </c>
      <c r="H31" s="18">
        <v>6831</v>
      </c>
      <c r="I31" s="18">
        <v>7601.8</v>
      </c>
      <c r="J31" s="18">
        <v>19237.62</v>
      </c>
      <c r="K31" s="18">
        <v>20712.79</v>
      </c>
      <c r="L31" s="18">
        <v>22156.58</v>
      </c>
      <c r="M31" s="18">
        <v>27608.47</v>
      </c>
      <c r="N31" s="18">
        <v>26234.41</v>
      </c>
      <c r="O31" s="18">
        <v>32051.15</v>
      </c>
      <c r="P31" s="18">
        <v>42665.91</v>
      </c>
      <c r="Q31" s="132">
        <f t="shared" si="7"/>
        <v>23.531601102423274</v>
      </c>
      <c r="R31" s="132">
        <f t="shared" si="8"/>
        <v>23.664991534216298</v>
      </c>
      <c r="S31" s="132">
        <f t="shared" si="9"/>
        <v>22.616261173881526</v>
      </c>
      <c r="T31" s="132">
        <f t="shared" si="3"/>
        <v>19.976152246031742</v>
      </c>
      <c r="U31" s="132">
        <f t="shared" si="4"/>
        <v>23.938102667450881</v>
      </c>
      <c r="V31" s="132">
        <f t="shared" si="5"/>
        <v>21.312807808768174</v>
      </c>
      <c r="W31" s="132">
        <f t="shared" si="5"/>
        <v>17.81703472397518</v>
      </c>
    </row>
    <row r="32" spans="1:23" ht="20.25" customHeight="1">
      <c r="A32" s="34">
        <v>25</v>
      </c>
      <c r="B32" s="31" t="s">
        <v>37</v>
      </c>
      <c r="C32" s="18">
        <v>5942.99</v>
      </c>
      <c r="D32" s="18">
        <v>6224.25</v>
      </c>
      <c r="E32" s="18">
        <v>6769.13</v>
      </c>
      <c r="F32" s="18">
        <v>7369</v>
      </c>
      <c r="G32" s="18">
        <v>7891.82</v>
      </c>
      <c r="H32" s="18">
        <v>8340.0499999999993</v>
      </c>
      <c r="I32" s="18">
        <v>9241.1200000000008</v>
      </c>
      <c r="J32" s="18">
        <v>30780.62</v>
      </c>
      <c r="K32" s="18">
        <v>33468.85</v>
      </c>
      <c r="L32" s="18">
        <v>35385.01</v>
      </c>
      <c r="M32" s="18">
        <v>45928.2</v>
      </c>
      <c r="N32" s="18">
        <v>57010.76</v>
      </c>
      <c r="O32" s="18">
        <v>66913.009999999995</v>
      </c>
      <c r="P32" s="18">
        <v>77220.600000000006</v>
      </c>
      <c r="Q32" s="132">
        <f t="shared" si="7"/>
        <v>19.307570802667392</v>
      </c>
      <c r="R32" s="132">
        <f t="shared" si="8"/>
        <v>18.597143313857515</v>
      </c>
      <c r="S32" s="132">
        <f t="shared" si="9"/>
        <v>19.129936659619425</v>
      </c>
      <c r="T32" s="132">
        <f t="shared" si="3"/>
        <v>16.044608758888877</v>
      </c>
      <c r="U32" s="132">
        <f t="shared" si="4"/>
        <v>13.842685135227104</v>
      </c>
      <c r="V32" s="132">
        <f t="shared" si="5"/>
        <v>12.464018581737692</v>
      </c>
      <c r="W32" s="132">
        <f t="shared" si="5"/>
        <v>11.967169382263283</v>
      </c>
    </row>
    <row r="33" spans="1:23" ht="20.25" customHeight="1">
      <c r="A33" s="36">
        <v>26</v>
      </c>
      <c r="B33" s="37" t="s">
        <v>38</v>
      </c>
      <c r="C33" s="18">
        <v>6085.85</v>
      </c>
      <c r="D33" s="18">
        <v>5962.81</v>
      </c>
      <c r="E33" s="18">
        <v>6667.35</v>
      </c>
      <c r="F33" s="18">
        <v>7939.89</v>
      </c>
      <c r="G33" s="18">
        <v>8871.02</v>
      </c>
      <c r="H33" s="18">
        <v>10382.82</v>
      </c>
      <c r="I33" s="18">
        <v>13030</v>
      </c>
      <c r="J33" s="18">
        <v>47520.51</v>
      </c>
      <c r="K33" s="18">
        <v>55042.51</v>
      </c>
      <c r="L33" s="18">
        <v>55844.13</v>
      </c>
      <c r="M33" s="18">
        <v>70187.62</v>
      </c>
      <c r="N33" s="18">
        <v>85202.14</v>
      </c>
      <c r="O33" s="18">
        <v>100589.92</v>
      </c>
      <c r="P33" s="18">
        <v>118579.87</v>
      </c>
      <c r="Q33" s="132">
        <f t="shared" si="7"/>
        <v>12.806785954106974</v>
      </c>
      <c r="R33" s="132">
        <f t="shared" si="8"/>
        <v>10.833099726011769</v>
      </c>
      <c r="S33" s="132">
        <f t="shared" si="9"/>
        <v>11.939213664891907</v>
      </c>
      <c r="T33" s="132">
        <f t="shared" si="3"/>
        <v>11.312379590588769</v>
      </c>
      <c r="U33" s="132">
        <f t="shared" si="4"/>
        <v>10.411733789785092</v>
      </c>
      <c r="V33" s="132">
        <f t="shared" si="5"/>
        <v>10.321928877167812</v>
      </c>
      <c r="W33" s="132">
        <f t="shared" si="5"/>
        <v>10.988374333687497</v>
      </c>
    </row>
    <row r="34" spans="1:23" ht="20.25" customHeight="1">
      <c r="A34" s="36">
        <v>27</v>
      </c>
      <c r="B34" s="37" t="s">
        <v>39</v>
      </c>
      <c r="C34" s="18">
        <v>10820.15</v>
      </c>
      <c r="D34" s="18">
        <v>11375</v>
      </c>
      <c r="E34" s="18">
        <v>11988.46</v>
      </c>
      <c r="F34" s="18">
        <v>14215.57</v>
      </c>
      <c r="G34" s="18">
        <v>15480.95</v>
      </c>
      <c r="H34" s="18">
        <v>16497.939999999999</v>
      </c>
      <c r="I34" s="18">
        <v>17050</v>
      </c>
      <c r="J34" s="18">
        <v>68672.47</v>
      </c>
      <c r="K34" s="18">
        <v>77830.7</v>
      </c>
      <c r="L34" s="18">
        <v>96420.99</v>
      </c>
      <c r="M34" s="18">
        <v>111183.76</v>
      </c>
      <c r="N34" s="18">
        <v>130869.7</v>
      </c>
      <c r="O34" s="18">
        <v>156687.63</v>
      </c>
      <c r="P34" s="18">
        <v>177748.21000000002</v>
      </c>
      <c r="Q34" s="132">
        <f t="shared" si="7"/>
        <v>15.756168374313607</v>
      </c>
      <c r="R34" s="132">
        <f t="shared" si="8"/>
        <v>14.615055498665694</v>
      </c>
      <c r="S34" s="132">
        <f t="shared" si="9"/>
        <v>12.43345458286624</v>
      </c>
      <c r="T34" s="132">
        <f t="shared" si="3"/>
        <v>12.785653228493082</v>
      </c>
      <c r="U34" s="132">
        <f t="shared" si="4"/>
        <v>11.829285159207977</v>
      </c>
      <c r="V34" s="132">
        <f t="shared" si="5"/>
        <v>10.529191104620065</v>
      </c>
      <c r="W34" s="132">
        <f t="shared" si="5"/>
        <v>9.5922203661010137</v>
      </c>
    </row>
    <row r="35" spans="1:23" ht="20.25" customHeight="1">
      <c r="A35" s="34">
        <v>28</v>
      </c>
      <c r="B35" s="31" t="s">
        <v>40</v>
      </c>
      <c r="C35" s="18">
        <v>11383.56</v>
      </c>
      <c r="D35" s="18">
        <v>12068.99</v>
      </c>
      <c r="E35" s="18">
        <v>13305.12</v>
      </c>
      <c r="F35" s="18">
        <v>13817.3</v>
      </c>
      <c r="G35" s="18">
        <v>15895.99</v>
      </c>
      <c r="H35" s="18">
        <v>17570.7</v>
      </c>
      <c r="I35" s="18">
        <v>19491.86</v>
      </c>
      <c r="J35" s="18">
        <v>30167.38</v>
      </c>
      <c r="K35" s="18">
        <v>36904.39</v>
      </c>
      <c r="L35" s="18">
        <v>36921.65</v>
      </c>
      <c r="M35" s="18">
        <v>47264.2</v>
      </c>
      <c r="N35" s="18">
        <v>58755.040000000001</v>
      </c>
      <c r="O35" s="18">
        <v>68295.75</v>
      </c>
      <c r="P35" s="18">
        <v>88403.28</v>
      </c>
      <c r="Q35" s="132">
        <f t="shared" si="7"/>
        <v>37.734665721716631</v>
      </c>
      <c r="R35" s="132">
        <f t="shared" si="8"/>
        <v>32.703399243287855</v>
      </c>
      <c r="S35" s="132">
        <f t="shared" si="9"/>
        <v>36.036092644830333</v>
      </c>
      <c r="T35" s="132">
        <f t="shared" si="3"/>
        <v>29.234177241971725</v>
      </c>
      <c r="U35" s="132">
        <f t="shared" si="4"/>
        <v>27.054683308870182</v>
      </c>
      <c r="V35" s="132">
        <f t="shared" si="5"/>
        <v>25.727369565456126</v>
      </c>
      <c r="W35" s="132">
        <f t="shared" si="5"/>
        <v>22.048797284444653</v>
      </c>
    </row>
    <row r="36" spans="1:23" s="39" customFormat="1" ht="20.25" customHeight="1">
      <c r="A36" s="32"/>
      <c r="B36" s="32" t="s">
        <v>41</v>
      </c>
      <c r="C36" s="66">
        <f t="shared" ref="C36:K36" si="10">SUM(C19:C35)</f>
        <v>91330.739999999991</v>
      </c>
      <c r="D36" s="66">
        <f t="shared" si="10"/>
        <v>94527.08</v>
      </c>
      <c r="E36" s="66">
        <f>SUM(E19:E35)</f>
        <v>103765.5</v>
      </c>
      <c r="F36" s="66">
        <f>SUM(F19:F35)</f>
        <v>114964.92</v>
      </c>
      <c r="G36" s="66">
        <f>SUM(G19:G35)</f>
        <v>124121.93000000001</v>
      </c>
      <c r="H36" s="66">
        <f>SUM(H19:H35)</f>
        <v>138182.49000000002</v>
      </c>
      <c r="I36" s="66">
        <f>SUM(I19:I35)</f>
        <v>160559.28999999998</v>
      </c>
      <c r="J36" s="66">
        <f t="shared" si="10"/>
        <v>556528.47000000009</v>
      </c>
      <c r="K36" s="66">
        <f t="shared" si="10"/>
        <v>615378.63</v>
      </c>
      <c r="L36" s="66">
        <f>SUM(L19:L35)</f>
        <v>674672.22</v>
      </c>
      <c r="M36" s="66">
        <f>SUM(M19:M35)</f>
        <v>832770.12999999989</v>
      </c>
      <c r="N36" s="66">
        <f>SUM(N19:N35)</f>
        <v>982094.34000000008</v>
      </c>
      <c r="O36" s="66">
        <f>SUM(O19:O35)</f>
        <v>1136248.4800000002</v>
      </c>
      <c r="P36" s="66">
        <f>SUM(P19:P35)</f>
        <v>1354661.8</v>
      </c>
      <c r="Q36" s="133">
        <f t="shared" si="7"/>
        <v>16.410793862890781</v>
      </c>
      <c r="R36" s="133">
        <f t="shared" si="8"/>
        <v>15.360799902980057</v>
      </c>
      <c r="S36" s="133">
        <f t="shared" si="9"/>
        <v>15.380135260349093</v>
      </c>
      <c r="T36" s="133">
        <f t="shared" si="3"/>
        <v>13.805120507864519</v>
      </c>
      <c r="U36" s="133">
        <f t="shared" si="4"/>
        <v>12.638493568754299</v>
      </c>
      <c r="V36" s="133">
        <f t="shared" si="5"/>
        <v>12.16129151609514</v>
      </c>
      <c r="W36" s="132">
        <f t="shared" si="5"/>
        <v>11.8523523731163</v>
      </c>
    </row>
    <row r="37" spans="1:23" ht="20.25" customHeight="1">
      <c r="A37" s="31"/>
      <c r="B37" s="32" t="s">
        <v>53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132"/>
      <c r="R37" s="132"/>
      <c r="S37" s="132"/>
      <c r="T37" s="132"/>
      <c r="U37" s="132"/>
      <c r="V37" s="132"/>
      <c r="W37" s="132"/>
    </row>
    <row r="38" spans="1:23" ht="20.25" customHeight="1">
      <c r="A38" s="34">
        <v>29</v>
      </c>
      <c r="B38" s="31" t="s">
        <v>43</v>
      </c>
      <c r="C38" s="18">
        <v>2504.34</v>
      </c>
      <c r="D38" s="18">
        <v>2511.87</v>
      </c>
      <c r="E38" s="18">
        <v>2472.9299999999998</v>
      </c>
      <c r="F38" s="18">
        <v>2579.52</v>
      </c>
      <c r="G38" s="18">
        <v>2917.26</v>
      </c>
      <c r="H38" s="18">
        <v>2862.88</v>
      </c>
      <c r="I38" s="18">
        <v>3025</v>
      </c>
      <c r="J38" s="18">
        <v>14912.39</v>
      </c>
      <c r="K38" s="18">
        <v>16352.21</v>
      </c>
      <c r="L38" s="18">
        <v>20451.34</v>
      </c>
      <c r="M38" s="18">
        <v>25024.1</v>
      </c>
      <c r="N38" s="18">
        <v>22393.17</v>
      </c>
      <c r="O38" s="18">
        <v>25560.97</v>
      </c>
      <c r="P38" s="18">
        <v>34067.58</v>
      </c>
      <c r="Q38" s="132">
        <f t="shared" ref="Q38:S40" si="11">C38/J38*100</f>
        <v>16.793686323922589</v>
      </c>
      <c r="R38" s="132">
        <f t="shared" si="11"/>
        <v>15.361042941596272</v>
      </c>
      <c r="S38" s="132">
        <f t="shared" si="11"/>
        <v>12.09177491548231</v>
      </c>
      <c r="T38" s="132">
        <f t="shared" si="3"/>
        <v>10.308142950196011</v>
      </c>
      <c r="U38" s="132">
        <f t="shared" si="4"/>
        <v>13.027454353269324</v>
      </c>
      <c r="V38" s="132">
        <f t="shared" si="5"/>
        <v>11.200200931341806</v>
      </c>
      <c r="W38" s="132">
        <f t="shared" si="5"/>
        <v>8.8794096909730591</v>
      </c>
    </row>
    <row r="39" spans="1:23" ht="20.25" customHeight="1">
      <c r="A39" s="34">
        <v>30</v>
      </c>
      <c r="B39" s="31" t="s">
        <v>44</v>
      </c>
      <c r="C39" s="18">
        <v>217</v>
      </c>
      <c r="D39" s="18">
        <v>260</v>
      </c>
      <c r="E39" s="18">
        <v>287</v>
      </c>
      <c r="F39" s="18">
        <v>331</v>
      </c>
      <c r="G39" s="18">
        <v>390.14</v>
      </c>
      <c r="H39" s="18">
        <v>450.72</v>
      </c>
      <c r="I39" s="18">
        <v>480</v>
      </c>
      <c r="J39" s="18">
        <v>2136</v>
      </c>
      <c r="K39" s="18">
        <v>2459</v>
      </c>
      <c r="L39" s="18">
        <v>2841</v>
      </c>
      <c r="M39" s="18">
        <v>3200</v>
      </c>
      <c r="N39" s="18">
        <v>2771</v>
      </c>
      <c r="O39" s="18">
        <v>3161.35</v>
      </c>
      <c r="P39" s="18">
        <v>3413.57</v>
      </c>
      <c r="Q39" s="132">
        <f t="shared" si="11"/>
        <v>10.159176029962547</v>
      </c>
      <c r="R39" s="132">
        <f t="shared" si="11"/>
        <v>10.573403822692152</v>
      </c>
      <c r="S39" s="132">
        <f t="shared" si="11"/>
        <v>10.102076733544527</v>
      </c>
      <c r="T39" s="132">
        <f t="shared" si="3"/>
        <v>10.34375</v>
      </c>
      <c r="U39" s="132">
        <f t="shared" si="4"/>
        <v>14.079393720678453</v>
      </c>
      <c r="V39" s="132">
        <f t="shared" si="5"/>
        <v>14.257200246730036</v>
      </c>
      <c r="W39" s="132">
        <f t="shared" si="5"/>
        <v>14.061525030979297</v>
      </c>
    </row>
    <row r="40" spans="1:23" s="39" customFormat="1" ht="20.25" customHeight="1">
      <c r="A40" s="32"/>
      <c r="B40" s="32" t="s">
        <v>54</v>
      </c>
      <c r="C40" s="66">
        <f t="shared" ref="C40:K40" si="12">SUM(C38:C39)</f>
        <v>2721.34</v>
      </c>
      <c r="D40" s="66">
        <f t="shared" si="12"/>
        <v>2771.87</v>
      </c>
      <c r="E40" s="66">
        <f>SUM(E38:E39)</f>
        <v>2759.93</v>
      </c>
      <c r="F40" s="66">
        <f>SUM(F38:F39)</f>
        <v>2910.52</v>
      </c>
      <c r="G40" s="66">
        <f>SUM(G38:G39)</f>
        <v>3307.4</v>
      </c>
      <c r="H40" s="66">
        <f>SUM(H38:H39)</f>
        <v>3313.6000000000004</v>
      </c>
      <c r="I40" s="66">
        <f>SUM(I38:I39)</f>
        <v>3505</v>
      </c>
      <c r="J40" s="66">
        <f t="shared" si="12"/>
        <v>17048.39</v>
      </c>
      <c r="K40" s="66">
        <f t="shared" si="12"/>
        <v>18811.21</v>
      </c>
      <c r="L40" s="66">
        <f>SUM(L38:L39)</f>
        <v>23292.34</v>
      </c>
      <c r="M40" s="66">
        <f>SUM(M38:M39)</f>
        <v>28224.1</v>
      </c>
      <c r="N40" s="66">
        <f>SUM(N38:N39)</f>
        <v>25164.17</v>
      </c>
      <c r="O40" s="66">
        <f>SUM(O38:O39)</f>
        <v>28722.32</v>
      </c>
      <c r="P40" s="66">
        <f>SUM(P38:P39)</f>
        <v>37481.15</v>
      </c>
      <c r="Q40" s="133">
        <f t="shared" si="11"/>
        <v>15.962445720680957</v>
      </c>
      <c r="R40" s="133">
        <f t="shared" si="11"/>
        <v>14.735203104957098</v>
      </c>
      <c r="S40" s="133">
        <f t="shared" si="11"/>
        <v>11.849088584487431</v>
      </c>
      <c r="T40" s="133">
        <f t="shared" si="3"/>
        <v>10.312180016368989</v>
      </c>
      <c r="U40" s="133">
        <f t="shared" si="4"/>
        <v>13.143290639031607</v>
      </c>
      <c r="V40" s="133">
        <f t="shared" si="5"/>
        <v>11.53667252506065</v>
      </c>
      <c r="W40" s="132">
        <f t="shared" si="5"/>
        <v>9.3513672872897438</v>
      </c>
    </row>
    <row r="41" spans="1:23" ht="9" customHeight="1">
      <c r="A41" s="31"/>
      <c r="B41" s="31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33"/>
      <c r="R41" s="133"/>
      <c r="S41" s="133"/>
      <c r="T41" s="132"/>
      <c r="U41" s="132"/>
      <c r="V41" s="133"/>
      <c r="W41" s="132"/>
    </row>
    <row r="42" spans="1:23" ht="18.75" customHeight="1">
      <c r="A42" s="31"/>
      <c r="B42" s="40" t="s">
        <v>46</v>
      </c>
      <c r="C42" s="66">
        <f>+C40+C36+C17</f>
        <v>102465.43</v>
      </c>
      <c r="D42" s="66">
        <f t="shared" ref="D42:K42" si="13">+D40+D36+D17</f>
        <v>105377.81999999999</v>
      </c>
      <c r="E42" s="66">
        <f t="shared" si="13"/>
        <v>115770.87999999999</v>
      </c>
      <c r="F42" s="66">
        <f>+F40+F36+F17</f>
        <v>127833.54000000001</v>
      </c>
      <c r="G42" s="66">
        <f>+G40+G36+G17</f>
        <v>138266.65</v>
      </c>
      <c r="H42" s="66">
        <f>+H40+H36+H17</f>
        <v>153313.24000000002</v>
      </c>
      <c r="I42" s="66">
        <f>+I40+I36+I17</f>
        <v>177478.50999999998</v>
      </c>
      <c r="J42" s="66">
        <f t="shared" si="13"/>
        <v>638757.94000000006</v>
      </c>
      <c r="K42" s="66">
        <f t="shared" si="13"/>
        <v>706928.86</v>
      </c>
      <c r="L42" s="66">
        <f>+L40+L36+L17</f>
        <v>779394.75</v>
      </c>
      <c r="M42" s="66">
        <f>+M40+M36+M17</f>
        <v>1164407.1799999997</v>
      </c>
      <c r="N42" s="66">
        <f>+N40+N36+N17</f>
        <v>1123436.4400000002</v>
      </c>
      <c r="O42" s="66">
        <f>+O40+O36+O17</f>
        <v>1293834.8600000003</v>
      </c>
      <c r="P42" s="66">
        <f>+P40+P36+P17</f>
        <v>1538542.97</v>
      </c>
      <c r="Q42" s="133">
        <f>C42/J42*100</f>
        <v>16.041355196304877</v>
      </c>
      <c r="R42" s="133">
        <f>D42/K42*100</f>
        <v>14.906424954839162</v>
      </c>
      <c r="S42" s="133">
        <f>E42/L42*100</f>
        <v>14.853946604079638</v>
      </c>
      <c r="T42" s="133">
        <f t="shared" si="3"/>
        <v>10.978422513677737</v>
      </c>
      <c r="U42" s="133">
        <f t="shared" si="4"/>
        <v>12.307474199430452</v>
      </c>
      <c r="V42" s="133">
        <f t="shared" si="5"/>
        <v>11.849521506941</v>
      </c>
      <c r="W42" s="132">
        <f t="shared" si="5"/>
        <v>11.53549257061049</v>
      </c>
    </row>
    <row r="43" spans="1:23" s="14" customFormat="1" ht="12.75">
      <c r="A43" s="22"/>
      <c r="B43" s="582" t="s">
        <v>187</v>
      </c>
      <c r="C43" s="582"/>
      <c r="D43" s="582"/>
      <c r="E43" s="582"/>
      <c r="F43" s="582"/>
      <c r="G43" s="582"/>
      <c r="H43" s="582"/>
      <c r="I43" s="582"/>
      <c r="J43" s="582"/>
      <c r="K43" s="23"/>
      <c r="L43" s="23"/>
      <c r="M43" s="23"/>
      <c r="N43" s="23"/>
      <c r="O43" s="23"/>
      <c r="P43" s="23"/>
      <c r="Q43" s="23"/>
      <c r="R43" s="23"/>
    </row>
    <row r="54" spans="2:2">
      <c r="B54" s="41"/>
    </row>
    <row r="55" spans="2:2">
      <c r="B55" s="41"/>
    </row>
    <row r="56" spans="2:2">
      <c r="B56" s="41"/>
    </row>
    <row r="58" spans="2:2">
      <c r="B58" s="41"/>
    </row>
    <row r="59" spans="2:2">
      <c r="B59" s="41"/>
    </row>
  </sheetData>
  <mergeCells count="7">
    <mergeCell ref="B43:J43"/>
    <mergeCell ref="A1:V1"/>
    <mergeCell ref="A2:A4"/>
    <mergeCell ref="B2:B3"/>
    <mergeCell ref="C2:I2"/>
    <mergeCell ref="J2:P2"/>
    <mergeCell ref="Q2:W2"/>
  </mergeCells>
  <phoneticPr fontId="42" type="noConversion"/>
  <printOptions horizontalCentered="1"/>
  <pageMargins left="0.35433070866141736" right="0.15748031496062992" top="0.78740157480314965" bottom="0.39370078740157483" header="0" footer="0"/>
  <pageSetup paperSize="9" scale="59" orientation="landscape" verticalDpi="0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W4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5" sqref="B5"/>
    </sheetView>
  </sheetViews>
  <sheetFormatPr defaultRowHeight="15"/>
  <cols>
    <col min="1" max="1" width="5.7109375" style="61" customWidth="1"/>
    <col min="2" max="2" width="38" style="46" customWidth="1"/>
    <col min="3" max="4" width="11.7109375" style="46" customWidth="1"/>
    <col min="5" max="9" width="11.7109375" style="56" customWidth="1"/>
    <col min="10" max="14" width="11.7109375" style="46" customWidth="1"/>
    <col min="15" max="16" width="11.7109375" style="56" customWidth="1"/>
    <col min="17" max="22" width="11.7109375" style="46" customWidth="1"/>
    <col min="23" max="23" width="10.7109375" style="56" customWidth="1"/>
    <col min="24" max="16384" width="9.140625" style="46"/>
  </cols>
  <sheetData>
    <row r="1" spans="1:23" s="43" customFormat="1" ht="27" customHeight="1">
      <c r="A1" s="42"/>
      <c r="B1" s="615" t="s">
        <v>95</v>
      </c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226"/>
    </row>
    <row r="2" spans="1:23" s="44" customFormat="1" ht="33.75" customHeight="1">
      <c r="A2" s="616" t="s">
        <v>47</v>
      </c>
      <c r="B2" s="617" t="s">
        <v>1</v>
      </c>
      <c r="C2" s="619" t="s">
        <v>123</v>
      </c>
      <c r="D2" s="620"/>
      <c r="E2" s="620"/>
      <c r="F2" s="620"/>
      <c r="G2" s="620"/>
      <c r="H2" s="620"/>
      <c r="I2" s="621"/>
      <c r="J2" s="622" t="s">
        <v>184</v>
      </c>
      <c r="K2" s="623"/>
      <c r="L2" s="623"/>
      <c r="M2" s="623"/>
      <c r="N2" s="623"/>
      <c r="O2" s="623"/>
      <c r="P2" s="624"/>
      <c r="Q2" s="625" t="s">
        <v>144</v>
      </c>
      <c r="R2" s="625"/>
      <c r="S2" s="625"/>
      <c r="T2" s="625"/>
      <c r="U2" s="625"/>
      <c r="V2" s="625"/>
      <c r="W2" s="625"/>
    </row>
    <row r="3" spans="1:23" s="193" customFormat="1" ht="18.75" customHeight="1">
      <c r="A3" s="616"/>
      <c r="B3" s="618"/>
      <c r="C3" s="134" t="s">
        <v>48</v>
      </c>
      <c r="D3" s="134" t="s">
        <v>49</v>
      </c>
      <c r="E3" s="135" t="s">
        <v>5</v>
      </c>
      <c r="F3" s="135" t="s">
        <v>6</v>
      </c>
      <c r="G3" s="135" t="s">
        <v>7</v>
      </c>
      <c r="H3" s="135" t="s">
        <v>122</v>
      </c>
      <c r="I3" s="135" t="s">
        <v>139</v>
      </c>
      <c r="J3" s="45" t="s">
        <v>48</v>
      </c>
      <c r="K3" s="45" t="s">
        <v>49</v>
      </c>
      <c r="L3" s="45" t="s">
        <v>5</v>
      </c>
      <c r="M3" s="45" t="s">
        <v>6</v>
      </c>
      <c r="N3" s="47" t="s">
        <v>7</v>
      </c>
      <c r="O3" s="47" t="s">
        <v>122</v>
      </c>
      <c r="P3" s="47" t="s">
        <v>139</v>
      </c>
      <c r="Q3" s="45" t="s">
        <v>48</v>
      </c>
      <c r="R3" s="45" t="s">
        <v>49</v>
      </c>
      <c r="S3" s="45" t="s">
        <v>5</v>
      </c>
      <c r="T3" s="45" t="s">
        <v>6</v>
      </c>
      <c r="U3" s="45" t="s">
        <v>7</v>
      </c>
      <c r="V3" s="45" t="s">
        <v>122</v>
      </c>
      <c r="W3" s="47" t="s">
        <v>139</v>
      </c>
    </row>
    <row r="4" spans="1:23" s="193" customFormat="1" ht="15" customHeight="1">
      <c r="A4" s="616"/>
      <c r="B4" s="122">
        <v>41834</v>
      </c>
      <c r="C4" s="134" t="s">
        <v>8</v>
      </c>
      <c r="D4" s="134" t="s">
        <v>8</v>
      </c>
      <c r="E4" s="135" t="s">
        <v>8</v>
      </c>
      <c r="F4" s="135" t="s">
        <v>8</v>
      </c>
      <c r="G4" s="135" t="s">
        <v>8</v>
      </c>
      <c r="H4" s="135" t="s">
        <v>9</v>
      </c>
      <c r="I4" s="223" t="s">
        <v>10</v>
      </c>
      <c r="J4" s="45"/>
      <c r="K4" s="45"/>
      <c r="L4" s="45"/>
      <c r="M4" s="45"/>
      <c r="N4" s="45"/>
      <c r="O4" s="47"/>
      <c r="P4" s="47"/>
      <c r="Q4" s="45" t="s">
        <v>8</v>
      </c>
      <c r="R4" s="45" t="s">
        <v>8</v>
      </c>
      <c r="S4" s="45" t="s">
        <v>8</v>
      </c>
      <c r="T4" s="45" t="s">
        <v>8</v>
      </c>
      <c r="U4" s="45" t="s">
        <v>8</v>
      </c>
      <c r="V4" s="45" t="s">
        <v>9</v>
      </c>
      <c r="W4" s="47" t="s">
        <v>10</v>
      </c>
    </row>
    <row r="5" spans="1:23" ht="19.5" customHeight="1">
      <c r="A5" s="48"/>
      <c r="B5" s="49" t="s">
        <v>11</v>
      </c>
      <c r="C5" s="136"/>
      <c r="D5" s="136"/>
      <c r="E5" s="192"/>
      <c r="F5" s="192"/>
      <c r="G5" s="192"/>
      <c r="H5" s="192"/>
      <c r="I5" s="136"/>
      <c r="J5" s="49"/>
      <c r="K5" s="49"/>
      <c r="L5" s="49"/>
      <c r="M5" s="49"/>
      <c r="N5" s="49"/>
      <c r="O5" s="50"/>
      <c r="P5" s="50"/>
      <c r="Q5" s="51"/>
      <c r="R5" s="51"/>
      <c r="S5" s="51"/>
      <c r="T5" s="51"/>
      <c r="U5" s="51"/>
      <c r="V5" s="51"/>
      <c r="W5" s="53"/>
    </row>
    <row r="6" spans="1:23" s="56" customFormat="1" ht="19.5" customHeight="1">
      <c r="A6" s="52">
        <v>1</v>
      </c>
      <c r="B6" s="53" t="s">
        <v>12</v>
      </c>
      <c r="C6" s="138">
        <v>-576.17999999999995</v>
      </c>
      <c r="D6" s="138">
        <v>-832.6</v>
      </c>
      <c r="E6" s="195">
        <v>-599.28</v>
      </c>
      <c r="F6" s="195">
        <v>-1677.77</v>
      </c>
      <c r="G6" s="195">
        <v>-1081.19</v>
      </c>
      <c r="H6" s="195">
        <v>-971.51</v>
      </c>
      <c r="I6" s="224">
        <v>-3526.86</v>
      </c>
      <c r="J6" s="55">
        <f ca="1">+'SOTR (%GSDP)'!J6</f>
        <v>4810</v>
      </c>
      <c r="K6" s="55">
        <f ca="1">+'SOTR (%GSDP)'!K6</f>
        <v>5687</v>
      </c>
      <c r="L6" s="55">
        <f ca="1">+'SOTR (%GSDP)'!L6</f>
        <v>7474</v>
      </c>
      <c r="M6" s="55">
        <f ca="1">+'SOTR (%GSDP)'!M6</f>
        <v>9013</v>
      </c>
      <c r="N6" s="55">
        <f ca="1">+'SOTR (%GSDP)'!N6</f>
        <v>10619</v>
      </c>
      <c r="O6" s="55">
        <f ca="1">+'SOTR (%GSDP)'!O6</f>
        <v>12091</v>
      </c>
      <c r="P6" s="55">
        <f ca="1">+'SOTR (%GSDP)'!P6</f>
        <v>13382</v>
      </c>
      <c r="Q6" s="54">
        <f t="shared" ref="Q6:Q17" si="0">+C6/J6*100</f>
        <v>-11.978794178794178</v>
      </c>
      <c r="R6" s="54">
        <f t="shared" ref="R6:R17" si="1">+D6/K6*100</f>
        <v>-14.64040794795147</v>
      </c>
      <c r="S6" s="54">
        <f>+E6/L6*100</f>
        <v>-8.0181964142360176</v>
      </c>
      <c r="T6" s="54">
        <f>+F6/M6*100</f>
        <v>-18.615000554754243</v>
      </c>
      <c r="U6" s="54">
        <f>+G6/N6*100</f>
        <v>-10.181655523118938</v>
      </c>
      <c r="V6" s="54">
        <f>+H6/O6*100</f>
        <v>-8.0349846993631626</v>
      </c>
      <c r="W6" s="54">
        <f>+I6/P6*100</f>
        <v>-26.355253325362426</v>
      </c>
    </row>
    <row r="7" spans="1:23" ht="19.5" customHeight="1">
      <c r="A7" s="52">
        <v>2</v>
      </c>
      <c r="B7" s="51" t="s">
        <v>13</v>
      </c>
      <c r="C7" s="138">
        <v>-2580.77</v>
      </c>
      <c r="D7" s="138">
        <v>-3815.64</v>
      </c>
      <c r="E7" s="195">
        <v>-1098.47</v>
      </c>
      <c r="F7" s="195">
        <v>632.78</v>
      </c>
      <c r="G7" s="195">
        <v>-1528.54</v>
      </c>
      <c r="H7" s="195">
        <v>240.75</v>
      </c>
      <c r="I7" s="224">
        <v>-4054.6</v>
      </c>
      <c r="J7" s="55">
        <f ca="1">+'SOTR (%GSDP)'!J7</f>
        <v>71076</v>
      </c>
      <c r="K7" s="55">
        <f ca="1">+'SOTR (%GSDP)'!K7</f>
        <v>81074</v>
      </c>
      <c r="L7" s="55">
        <f ca="1">+'SOTR (%GSDP)'!L7</f>
        <v>95975</v>
      </c>
      <c r="M7" s="55">
        <f ca="1">+'SOTR (%GSDP)'!M7</f>
        <v>112688</v>
      </c>
      <c r="N7" s="55">
        <f ca="1">+'SOTR (%GSDP)'!N7</f>
        <v>125820</v>
      </c>
      <c r="O7" s="55">
        <f ca="1">+'SOTR (%GSDP)'!O7</f>
        <v>141621</v>
      </c>
      <c r="P7" s="55">
        <f ca="1">+'SOTR (%GSDP)'!P7</f>
        <v>162652</v>
      </c>
      <c r="Q7" s="54">
        <f t="shared" si="0"/>
        <v>-3.631000619055659</v>
      </c>
      <c r="R7" s="54">
        <f t="shared" si="1"/>
        <v>-4.7063670227199834</v>
      </c>
      <c r="S7" s="54">
        <f t="shared" ref="S7:S16" si="2">+E7/L7*100</f>
        <v>-1.1445376400104195</v>
      </c>
      <c r="T7" s="54">
        <f t="shared" ref="T7:T16" si="3">+F7/M7*100</f>
        <v>0.56153272753088168</v>
      </c>
      <c r="U7" s="54">
        <f t="shared" ref="U7:U16" si="4">+G7/N7*100</f>
        <v>-1.2148625019869654</v>
      </c>
      <c r="V7" s="54">
        <f t="shared" ref="V7:W16" si="5">+H7/O7*100</f>
        <v>0.16999597517317347</v>
      </c>
      <c r="W7" s="54">
        <f t="shared" si="5"/>
        <v>-2.4928067284755184</v>
      </c>
    </row>
    <row r="8" spans="1:23" ht="19.5" customHeight="1">
      <c r="A8" s="52">
        <v>3</v>
      </c>
      <c r="B8" s="51" t="s">
        <v>14</v>
      </c>
      <c r="C8" s="138">
        <v>849.8</v>
      </c>
      <c r="D8" s="138">
        <v>-130.16999999999999</v>
      </c>
      <c r="E8" s="195">
        <v>-804.65</v>
      </c>
      <c r="F8" s="195">
        <v>-1235.45</v>
      </c>
      <c r="G8" s="195">
        <v>644.9</v>
      </c>
      <c r="H8" s="195">
        <v>-576.13</v>
      </c>
      <c r="I8" s="224">
        <v>-2496.46</v>
      </c>
      <c r="J8" s="55">
        <f ca="1">+'SOTR (%GSDP)'!J8</f>
        <v>33963</v>
      </c>
      <c r="K8" s="55">
        <f ca="1">+'SOTR (%GSDP)'!K8</f>
        <v>41483</v>
      </c>
      <c r="L8" s="55">
        <f ca="1">+'SOTR (%GSDP)'!L8</f>
        <v>48189</v>
      </c>
      <c r="M8" s="55">
        <f ca="1">+'SOTR (%GSDP)'!M8</f>
        <v>57452</v>
      </c>
      <c r="N8" s="55">
        <f ca="1">+'SOTR (%GSDP)'!N8</f>
        <v>64957</v>
      </c>
      <c r="O8" s="55">
        <f ca="1">+'SOTR (%GSDP)'!O8</f>
        <v>73710</v>
      </c>
      <c r="P8" s="55">
        <f ca="1">+'SOTR (%GSDP)'!P8</f>
        <v>82585</v>
      </c>
      <c r="Q8" s="54">
        <f t="shared" si="0"/>
        <v>2.5021346759709093</v>
      </c>
      <c r="R8" s="54">
        <f t="shared" si="1"/>
        <v>-0.31379119157245133</v>
      </c>
      <c r="S8" s="54">
        <f t="shared" si="2"/>
        <v>-1.6697794102388512</v>
      </c>
      <c r="T8" s="54">
        <f t="shared" si="3"/>
        <v>-2.1504038153589087</v>
      </c>
      <c r="U8" s="54">
        <f t="shared" si="4"/>
        <v>0.99281062856966906</v>
      </c>
      <c r="V8" s="54">
        <f t="shared" si="5"/>
        <v>-0.78161714828381501</v>
      </c>
      <c r="W8" s="54">
        <f t="shared" si="5"/>
        <v>-3.0228976206332869</v>
      </c>
    </row>
    <row r="9" spans="1:23" s="56" customFormat="1" ht="19.5" customHeight="1">
      <c r="A9" s="52">
        <v>4</v>
      </c>
      <c r="B9" s="53" t="s">
        <v>52</v>
      </c>
      <c r="C9" s="138">
        <v>-1447.74</v>
      </c>
      <c r="D9" s="138">
        <v>-2255.0700000000002</v>
      </c>
      <c r="E9" s="195">
        <v>-2263.9299999999998</v>
      </c>
      <c r="F9" s="195">
        <v>-3766.85</v>
      </c>
      <c r="G9" s="195">
        <v>-2102.48</v>
      </c>
      <c r="H9" s="195">
        <v>-1099.6400000000001</v>
      </c>
      <c r="I9" s="224">
        <v>-5309.96</v>
      </c>
      <c r="J9" s="55">
        <f ca="1">+'SOTR (%GSDP)'!J9</f>
        <v>37099</v>
      </c>
      <c r="K9" s="55">
        <f ca="1">+'SOTR (%GSDP)'!K9</f>
        <v>42315</v>
      </c>
      <c r="L9" s="55">
        <f ca="1">+'SOTR (%GSDP)'!L9</f>
        <v>48385</v>
      </c>
      <c r="M9" s="55">
        <f ca="1">+'SOTR (%GSDP)'!M9</f>
        <v>58073</v>
      </c>
      <c r="N9" s="55">
        <f ca="1">+'SOTR (%GSDP)'!N9</f>
        <v>65759</v>
      </c>
      <c r="O9" s="55">
        <f ca="1">+'SOTR (%GSDP)'!O9</f>
        <v>75574</v>
      </c>
      <c r="P9" s="55">
        <f ca="1">+'SOTR (%GSDP)'!P9</f>
        <v>87319</v>
      </c>
      <c r="Q9" s="54">
        <f t="shared" si="0"/>
        <v>-3.9023693361007035</v>
      </c>
      <c r="R9" s="54">
        <f t="shared" si="1"/>
        <v>-5.3292449485997881</v>
      </c>
      <c r="S9" s="54">
        <f t="shared" si="2"/>
        <v>-4.6789914229616612</v>
      </c>
      <c r="T9" s="54">
        <f t="shared" si="3"/>
        <v>-6.4864050419299852</v>
      </c>
      <c r="U9" s="54">
        <f t="shared" si="4"/>
        <v>-3.1972505664623854</v>
      </c>
      <c r="V9" s="54">
        <f t="shared" si="5"/>
        <v>-1.45505067880488</v>
      </c>
      <c r="W9" s="54">
        <f t="shared" si="5"/>
        <v>-6.0811049141653024</v>
      </c>
    </row>
    <row r="10" spans="1:23" ht="19.5" customHeight="1">
      <c r="A10" s="52">
        <v>5</v>
      </c>
      <c r="B10" s="51" t="s">
        <v>16</v>
      </c>
      <c r="C10" s="138">
        <v>-1215.75</v>
      </c>
      <c r="D10" s="138">
        <v>-1250.33</v>
      </c>
      <c r="E10" s="195">
        <v>-858.84</v>
      </c>
      <c r="F10" s="195">
        <v>-1351.93</v>
      </c>
      <c r="G10" s="195">
        <v>-646.64</v>
      </c>
      <c r="H10" s="195">
        <v>-1503.23</v>
      </c>
      <c r="I10" s="224">
        <v>-1926.12</v>
      </c>
      <c r="J10" s="55">
        <f ca="1">+'SOTR (%GSDP)'!J10</f>
        <v>6783</v>
      </c>
      <c r="K10" s="55">
        <f ca="1">+'SOTR (%GSDP)'!K10</f>
        <v>7399</v>
      </c>
      <c r="L10" s="55">
        <f ca="1">+'SOTR (%GSDP)'!L10</f>
        <v>8254</v>
      </c>
      <c r="M10" s="55">
        <f ca="1">+'SOTR (%GSDP)'!M10</f>
        <v>9137</v>
      </c>
      <c r="N10" s="55">
        <f ca="1">+'SOTR (%GSDP)'!N10</f>
        <v>10504</v>
      </c>
      <c r="O10" s="55">
        <f ca="1">+'SOTR (%GSDP)'!O10</f>
        <v>11983</v>
      </c>
      <c r="P10" s="55">
        <f ca="1">+'SOTR (%GSDP)'!P10</f>
        <v>13433.125480627126</v>
      </c>
      <c r="Q10" s="54">
        <f t="shared" si="0"/>
        <v>-17.923485183547104</v>
      </c>
      <c r="R10" s="54">
        <f t="shared" si="1"/>
        <v>-16.89863495066901</v>
      </c>
      <c r="S10" s="54">
        <f t="shared" si="2"/>
        <v>-10.405136903319603</v>
      </c>
      <c r="T10" s="54">
        <f t="shared" si="3"/>
        <v>-14.796213199080663</v>
      </c>
      <c r="U10" s="54">
        <f t="shared" si="4"/>
        <v>-6.1561309977151559</v>
      </c>
      <c r="V10" s="54">
        <f t="shared" si="5"/>
        <v>-12.544688308436951</v>
      </c>
      <c r="W10" s="54">
        <f t="shared" si="5"/>
        <v>-14.338584142445448</v>
      </c>
    </row>
    <row r="11" spans="1:23" s="56" customFormat="1" ht="19.5" customHeight="1">
      <c r="A11" s="52">
        <v>6</v>
      </c>
      <c r="B11" s="53" t="s">
        <v>17</v>
      </c>
      <c r="C11" s="138">
        <v>-187.71</v>
      </c>
      <c r="D11" s="138">
        <v>-127.86</v>
      </c>
      <c r="E11" s="195">
        <v>-264.95999999999998</v>
      </c>
      <c r="F11" s="195">
        <v>-247.74</v>
      </c>
      <c r="G11" s="195">
        <v>180.34</v>
      </c>
      <c r="H11" s="195">
        <v>-536.82000000000005</v>
      </c>
      <c r="I11" s="224">
        <v>-1250.1300000000001</v>
      </c>
      <c r="J11" s="55">
        <f ca="1">+'SOTR (%GSDP)'!J11</f>
        <v>9735</v>
      </c>
      <c r="K11" s="55">
        <f ca="1">+'SOTR (%GSDP)'!K11</f>
        <v>11617</v>
      </c>
      <c r="L11" s="55">
        <f ca="1">+'SOTR (%GSDP)'!L11</f>
        <v>12709</v>
      </c>
      <c r="M11" s="55">
        <f ca="1">+'SOTR (%GSDP)'!M11</f>
        <v>14583</v>
      </c>
      <c r="N11" s="55">
        <f ca="1">+'SOTR (%GSDP)'!N11</f>
        <v>16412</v>
      </c>
      <c r="O11" s="55">
        <f ca="1">+'SOTR (%GSDP)'!O11</f>
        <v>18135</v>
      </c>
      <c r="P11" s="55">
        <f ca="1">+'SOTR (%GSDP)'!P11</f>
        <v>20808</v>
      </c>
      <c r="Q11" s="54">
        <f t="shared" si="0"/>
        <v>-1.9281972265023113</v>
      </c>
      <c r="R11" s="54">
        <f t="shared" si="1"/>
        <v>-1.1006283894292848</v>
      </c>
      <c r="S11" s="54">
        <f t="shared" si="2"/>
        <v>-2.0848217798410573</v>
      </c>
      <c r="T11" s="54">
        <f t="shared" si="3"/>
        <v>-1.6988274017691836</v>
      </c>
      <c r="U11" s="54">
        <f t="shared" si="4"/>
        <v>1.0988301242992933</v>
      </c>
      <c r="V11" s="54">
        <f t="shared" si="5"/>
        <v>-2.9601323407775024</v>
      </c>
      <c r="W11" s="54">
        <f t="shared" si="5"/>
        <v>-6.0079296424452133</v>
      </c>
    </row>
    <row r="12" spans="1:23" s="56" customFormat="1" ht="19.5" customHeight="1">
      <c r="A12" s="52">
        <v>7</v>
      </c>
      <c r="B12" s="53" t="s">
        <v>18</v>
      </c>
      <c r="C12" s="138">
        <v>-131.35</v>
      </c>
      <c r="D12" s="138">
        <v>-506.91</v>
      </c>
      <c r="E12" s="195">
        <v>-407.18</v>
      </c>
      <c r="F12" s="195">
        <v>182.95</v>
      </c>
      <c r="G12" s="195">
        <v>94.48</v>
      </c>
      <c r="H12" s="195">
        <v>-1197.1600000000001</v>
      </c>
      <c r="I12" s="224">
        <v>-181.06</v>
      </c>
      <c r="J12" s="55">
        <f ca="1">+'SOTR (%GSDP)'!J12</f>
        <v>3816</v>
      </c>
      <c r="K12" s="55">
        <f ca="1">+'SOTR (%GSDP)'!K12</f>
        <v>4577</v>
      </c>
      <c r="L12" s="55">
        <f ca="1">+'SOTR (%GSDP)'!L12</f>
        <v>5260</v>
      </c>
      <c r="M12" s="55">
        <f ca="1">+'SOTR (%GSDP)'!M12</f>
        <v>6388</v>
      </c>
      <c r="N12" s="55">
        <f ca="1">+'SOTR (%GSDP)'!N12</f>
        <v>7198</v>
      </c>
      <c r="O12" s="55">
        <f ca="1">+'SOTR (%GSDP)'!O12</f>
        <v>8053</v>
      </c>
      <c r="P12" s="55">
        <f ca="1">+'SOTR (%GSDP)'!P12</f>
        <v>9366.0879379254438</v>
      </c>
      <c r="Q12" s="54">
        <f t="shared" si="0"/>
        <v>-3.4420859538784065</v>
      </c>
      <c r="R12" s="54">
        <f t="shared" si="1"/>
        <v>-11.075158400699149</v>
      </c>
      <c r="S12" s="54">
        <f t="shared" si="2"/>
        <v>-7.7410646387832696</v>
      </c>
      <c r="T12" s="54">
        <f t="shared" si="3"/>
        <v>2.8639636819035688</v>
      </c>
      <c r="U12" s="171">
        <f t="shared" si="4"/>
        <v>1.3125868296749099</v>
      </c>
      <c r="V12" s="54">
        <f t="shared" si="5"/>
        <v>-14.866012666087173</v>
      </c>
      <c r="W12" s="54">
        <f t="shared" si="5"/>
        <v>-1.9331443522630876</v>
      </c>
    </row>
    <row r="13" spans="1:23" s="56" customFormat="1" ht="19.5" customHeight="1">
      <c r="A13" s="52">
        <v>8</v>
      </c>
      <c r="B13" s="53" t="s">
        <v>19</v>
      </c>
      <c r="C13" s="138">
        <v>423.74</v>
      </c>
      <c r="D13" s="138">
        <v>489.13</v>
      </c>
      <c r="E13" s="195">
        <v>496.19</v>
      </c>
      <c r="F13" s="195">
        <v>812.15</v>
      </c>
      <c r="G13" s="195">
        <v>710.72</v>
      </c>
      <c r="H13" s="195">
        <v>715.65</v>
      </c>
      <c r="I13" s="224">
        <v>1154.1600000000001</v>
      </c>
      <c r="J13" s="55">
        <f ca="1">+'SOTR (%GSDP)'!J13</f>
        <v>8075</v>
      </c>
      <c r="K13" s="55">
        <f ca="1">+'SOTR (%GSDP)'!K13</f>
        <v>9436</v>
      </c>
      <c r="L13" s="55">
        <f ca="1">+'SOTR (%GSDP)'!L13</f>
        <v>10527</v>
      </c>
      <c r="M13" s="55">
        <f ca="1">+'SOTR (%GSDP)'!M13</f>
        <v>11759</v>
      </c>
      <c r="N13" s="55">
        <f ca="1">+'SOTR (%GSDP)'!N13</f>
        <v>13203</v>
      </c>
      <c r="O13" s="55">
        <f ca="1">+'SOTR (%GSDP)'!O13</f>
        <v>14832</v>
      </c>
      <c r="P13" s="55">
        <f ca="1">+'SOTR (%GSDP)'!P13</f>
        <v>16703.207706222278</v>
      </c>
      <c r="Q13" s="54">
        <f t="shared" si="0"/>
        <v>5.2475541795665634</v>
      </c>
      <c r="R13" s="54">
        <f t="shared" si="1"/>
        <v>5.183658329800763</v>
      </c>
      <c r="S13" s="54">
        <f t="shared" si="2"/>
        <v>4.7134986225895323</v>
      </c>
      <c r="T13" s="54">
        <f t="shared" si="3"/>
        <v>6.9066247129857983</v>
      </c>
      <c r="U13" s="54">
        <f t="shared" si="4"/>
        <v>5.3830190108308722</v>
      </c>
      <c r="V13" s="54">
        <f t="shared" si="5"/>
        <v>4.8250404530744335</v>
      </c>
      <c r="W13" s="54">
        <f t="shared" si="5"/>
        <v>6.9098105004708312</v>
      </c>
    </row>
    <row r="14" spans="1:23" s="56" customFormat="1" ht="19.5" customHeight="1">
      <c r="A14" s="52">
        <v>9</v>
      </c>
      <c r="B14" s="53" t="s">
        <v>20</v>
      </c>
      <c r="C14" s="138">
        <v>-350.85</v>
      </c>
      <c r="D14" s="138">
        <v>-377.64</v>
      </c>
      <c r="E14" s="195">
        <v>-516.35</v>
      </c>
      <c r="F14" s="195">
        <v>-139.78</v>
      </c>
      <c r="G14" s="195">
        <v>-442.5</v>
      </c>
      <c r="H14" s="195">
        <v>-780.97</v>
      </c>
      <c r="I14" s="224">
        <v>-1012.64</v>
      </c>
      <c r="J14" s="55">
        <f ca="1">+'SOTR (%GSDP)'!J14</f>
        <v>2506</v>
      </c>
      <c r="K14" s="55">
        <f ca="1">+'SOTR (%GSDP)'!K14</f>
        <v>3229</v>
      </c>
      <c r="L14" s="55">
        <f ca="1">+'SOTR (%GSDP)'!L14</f>
        <v>6133</v>
      </c>
      <c r="M14" s="55">
        <f ca="1">+'SOTR (%GSDP)'!M14</f>
        <v>7412</v>
      </c>
      <c r="N14" s="55">
        <f ca="1">+'SOTR (%GSDP)'!N14</f>
        <v>8616</v>
      </c>
      <c r="O14" s="55">
        <f ca="1">+'SOTR (%GSDP)'!O14</f>
        <v>9957</v>
      </c>
      <c r="P14" s="55">
        <f ca="1">+'SOTR (%GSDP)'!P14</f>
        <v>13261.907960807141</v>
      </c>
      <c r="Q14" s="54">
        <f t="shared" si="0"/>
        <v>-14.000399042298483</v>
      </c>
      <c r="R14" s="54">
        <f t="shared" si="1"/>
        <v>-11.695261690925983</v>
      </c>
      <c r="S14" s="54">
        <f t="shared" si="2"/>
        <v>-8.4192075656285663</v>
      </c>
      <c r="T14" s="54">
        <f t="shared" si="3"/>
        <v>-1.8858607663248785</v>
      </c>
      <c r="U14" s="54">
        <f t="shared" si="4"/>
        <v>-5.1357938718662952</v>
      </c>
      <c r="V14" s="54">
        <f t="shared" si="5"/>
        <v>-7.843426734960329</v>
      </c>
      <c r="W14" s="54">
        <f t="shared" si="5"/>
        <v>-7.6357037237224885</v>
      </c>
    </row>
    <row r="15" spans="1:23" s="56" customFormat="1" ht="19.5" customHeight="1">
      <c r="A15" s="52">
        <v>10</v>
      </c>
      <c r="B15" s="53" t="s">
        <v>21</v>
      </c>
      <c r="C15" s="138">
        <v>-904.7</v>
      </c>
      <c r="D15" s="138">
        <v>-947.33</v>
      </c>
      <c r="E15" s="195">
        <v>-187.56</v>
      </c>
      <c r="F15" s="195">
        <v>-809.13</v>
      </c>
      <c r="G15" s="195">
        <v>-1667.67</v>
      </c>
      <c r="H15" s="195">
        <v>-1837.42</v>
      </c>
      <c r="I15" s="224">
        <v>-1369.29</v>
      </c>
      <c r="J15" s="55">
        <f ca="1">+'SOTR (%GSDP)'!J15</f>
        <v>11797</v>
      </c>
      <c r="K15" s="55">
        <f ca="1">+'SOTR (%GSDP)'!K15</f>
        <v>13573</v>
      </c>
      <c r="L15" s="55">
        <f ca="1">+'SOTR (%GSDP)'!L15</f>
        <v>15403</v>
      </c>
      <c r="M15" s="55">
        <f ca="1">+'SOTR (%GSDP)'!M15</f>
        <v>17868</v>
      </c>
      <c r="N15" s="55">
        <f ca="1">+'SOTR (%GSDP)'!N15</f>
        <v>20982</v>
      </c>
      <c r="O15" s="55">
        <f ca="1">+'SOTR (%GSDP)'!O15</f>
        <v>23855</v>
      </c>
      <c r="P15" s="55">
        <f ca="1">+'SOTR (%GSDP)'!P15</f>
        <v>27499.381963863005</v>
      </c>
      <c r="Q15" s="54">
        <f t="shared" si="0"/>
        <v>-7.6688988725947276</v>
      </c>
      <c r="R15" s="54">
        <f t="shared" si="1"/>
        <v>-6.9795181610550356</v>
      </c>
      <c r="S15" s="54">
        <f t="shared" si="2"/>
        <v>-1.2176848665844315</v>
      </c>
      <c r="T15" s="54">
        <f t="shared" si="3"/>
        <v>-4.5283747481531229</v>
      </c>
      <c r="U15" s="54">
        <f t="shared" si="4"/>
        <v>-7.948098370031456</v>
      </c>
      <c r="V15" s="54">
        <f t="shared" si="5"/>
        <v>-7.7024523160762941</v>
      </c>
      <c r="W15" s="54">
        <f t="shared" si="5"/>
        <v>-4.9793482697152491</v>
      </c>
    </row>
    <row r="16" spans="1:23" s="56" customFormat="1" ht="19.5" customHeight="1">
      <c r="A16" s="52">
        <v>11</v>
      </c>
      <c r="B16" s="53" t="s">
        <v>22</v>
      </c>
      <c r="C16" s="138">
        <v>-636.53</v>
      </c>
      <c r="D16" s="138">
        <v>-239.53</v>
      </c>
      <c r="E16" s="195">
        <v>1171.3499999999999</v>
      </c>
      <c r="F16" s="195">
        <v>12.92</v>
      </c>
      <c r="G16" s="195">
        <v>-716.09</v>
      </c>
      <c r="H16" s="195">
        <v>-1787</v>
      </c>
      <c r="I16" s="224">
        <v>-901.52</v>
      </c>
      <c r="J16" s="55">
        <f ca="1">+'SOTR (%GSDP)'!J16</f>
        <v>45856</v>
      </c>
      <c r="K16" s="55">
        <f ca="1">+'SOTR (%GSDP)'!K16</f>
        <v>56025</v>
      </c>
      <c r="L16" s="55">
        <f ca="1">+'SOTR (%GSDP)'!L16</f>
        <v>70730</v>
      </c>
      <c r="M16" s="55">
        <f ca="1">+'SOTR (%GSDP)'!M16</f>
        <v>83969</v>
      </c>
      <c r="N16" s="55">
        <f ca="1">+'SOTR (%GSDP)'!N16</f>
        <v>97696</v>
      </c>
      <c r="O16" s="55">
        <f ca="1">+'SOTR (%GSDP)'!O16</f>
        <v>113958</v>
      </c>
      <c r="P16" s="55">
        <f ca="1">+'SOTR (%GSDP)'!P16</f>
        <v>132969</v>
      </c>
      <c r="Q16" s="54">
        <f t="shared" si="0"/>
        <v>-1.3881062456385205</v>
      </c>
      <c r="R16" s="54">
        <f t="shared" si="1"/>
        <v>-0.42754127621597504</v>
      </c>
      <c r="S16" s="54">
        <f t="shared" si="2"/>
        <v>1.656086526226495</v>
      </c>
      <c r="T16" s="54">
        <f t="shared" si="3"/>
        <v>1.5386630780407053E-2</v>
      </c>
      <c r="U16" s="54">
        <f t="shared" si="4"/>
        <v>-0.73297780871274154</v>
      </c>
      <c r="V16" s="54">
        <f t="shared" si="5"/>
        <v>-1.5681215886554696</v>
      </c>
      <c r="W16" s="54">
        <f t="shared" si="5"/>
        <v>-0.67799261481999562</v>
      </c>
    </row>
    <row r="17" spans="1:23" s="59" customFormat="1" ht="19.5" customHeight="1">
      <c r="A17" s="47"/>
      <c r="B17" s="50" t="s">
        <v>23</v>
      </c>
      <c r="C17" s="139">
        <f t="shared" ref="C17:O17" si="6">SUM(C6:C16)</f>
        <v>-6758.04</v>
      </c>
      <c r="D17" s="139">
        <f t="shared" si="6"/>
        <v>-9993.9500000000007</v>
      </c>
      <c r="E17" s="139">
        <f t="shared" si="6"/>
        <v>-5333.6800000000021</v>
      </c>
      <c r="F17" s="139">
        <f t="shared" si="6"/>
        <v>-7587.85</v>
      </c>
      <c r="G17" s="139">
        <f t="shared" si="6"/>
        <v>-6554.67</v>
      </c>
      <c r="H17" s="139">
        <f t="shared" si="6"/>
        <v>-9333.48</v>
      </c>
      <c r="I17" s="225">
        <f t="shared" si="6"/>
        <v>-20874.480000000003</v>
      </c>
      <c r="J17" s="58">
        <f t="shared" si="6"/>
        <v>235516</v>
      </c>
      <c r="K17" s="58">
        <f t="shared" si="6"/>
        <v>276415</v>
      </c>
      <c r="L17" s="58">
        <f t="shared" si="6"/>
        <v>329039</v>
      </c>
      <c r="M17" s="58">
        <f t="shared" si="6"/>
        <v>388342</v>
      </c>
      <c r="N17" s="58">
        <f t="shared" si="6"/>
        <v>441766</v>
      </c>
      <c r="O17" s="58">
        <f t="shared" si="6"/>
        <v>503769</v>
      </c>
      <c r="P17" s="58">
        <f ca="1">SUM(P6:P16)</f>
        <v>579978.71104944497</v>
      </c>
      <c r="Q17" s="57">
        <f t="shared" si="0"/>
        <v>-2.8694610981844124</v>
      </c>
      <c r="R17" s="57">
        <f t="shared" si="1"/>
        <v>-3.6155599370511737</v>
      </c>
      <c r="S17" s="57">
        <f>+E17/L17*100</f>
        <v>-1.6209871778117495</v>
      </c>
      <c r="T17" s="57">
        <f>+F17/M17*100</f>
        <v>-1.953909183142694</v>
      </c>
      <c r="U17" s="57">
        <f>+G17/N17*100</f>
        <v>-1.4837425243228315</v>
      </c>
      <c r="V17" s="57">
        <f>+H17/O17*100</f>
        <v>-1.8527301203527806</v>
      </c>
      <c r="W17" s="57">
        <f>+I17/P17*100</f>
        <v>-3.599180384091786</v>
      </c>
    </row>
    <row r="18" spans="1:23" s="56" customFormat="1" ht="19.5" customHeight="1">
      <c r="A18" s="52"/>
      <c r="B18" s="50" t="s">
        <v>189</v>
      </c>
      <c r="C18" s="139"/>
      <c r="D18" s="139"/>
      <c r="E18" s="195"/>
      <c r="F18" s="195"/>
      <c r="G18" s="195"/>
      <c r="H18" s="195"/>
      <c r="I18" s="225"/>
      <c r="J18" s="58"/>
      <c r="K18" s="58"/>
      <c r="L18" s="58"/>
      <c r="M18" s="58"/>
      <c r="N18" s="58"/>
      <c r="O18" s="58"/>
      <c r="P18" s="58"/>
      <c r="Q18" s="54"/>
      <c r="R18" s="54"/>
      <c r="S18" s="54"/>
      <c r="T18" s="54"/>
      <c r="U18" s="54"/>
      <c r="V18" s="54"/>
      <c r="W18" s="54"/>
    </row>
    <row r="19" spans="1:23" ht="19.5" customHeight="1">
      <c r="A19" s="48">
        <v>12</v>
      </c>
      <c r="B19" s="51" t="s">
        <v>25</v>
      </c>
      <c r="C19" s="138">
        <v>-158.99</v>
      </c>
      <c r="D19" s="138">
        <v>-1004.23</v>
      </c>
      <c r="E19" s="195">
        <v>-1230.42</v>
      </c>
      <c r="F19" s="195">
        <v>-2462.0500000000002</v>
      </c>
      <c r="G19" s="195">
        <v>-3138.33</v>
      </c>
      <c r="H19" s="195">
        <v>-1127.8800000000001</v>
      </c>
      <c r="I19" s="224">
        <v>-1022.78</v>
      </c>
      <c r="J19" s="55">
        <f ca="1">+'SOTR (%GSDP)'!J19</f>
        <v>364813</v>
      </c>
      <c r="K19" s="55">
        <f ca="1">+'SOTR (%GSDP)'!K19</f>
        <v>426765</v>
      </c>
      <c r="L19" s="55">
        <f ca="1">+'SOTR (%GSDP)'!L19</f>
        <v>476835</v>
      </c>
      <c r="M19" s="55">
        <f ca="1">+'SOTR (%GSDP)'!M19</f>
        <v>583762</v>
      </c>
      <c r="N19" s="55">
        <f ca="1">+'SOTR (%GSDP)'!N19</f>
        <v>662592</v>
      </c>
      <c r="O19" s="55">
        <f ca="1">+'SOTR (%GSDP)'!O19</f>
        <v>754409</v>
      </c>
      <c r="P19" s="55">
        <f ca="1">+'SOTR (%GSDP)'!P19</f>
        <v>857364</v>
      </c>
      <c r="Q19" s="54">
        <f t="shared" ref="Q19:Q36" si="7">+C19/J19*100</f>
        <v>-4.3581232028463902E-2</v>
      </c>
      <c r="R19" s="54">
        <f t="shared" ref="R19:R36" si="8">+D19/K19*100</f>
        <v>-0.23531217414736447</v>
      </c>
      <c r="S19" s="54">
        <f>+E19/L19*100</f>
        <v>-0.258038944288905</v>
      </c>
      <c r="T19" s="54">
        <f>+F19/M19*100</f>
        <v>-0.42175578403527469</v>
      </c>
      <c r="U19" s="54">
        <f>+G19/N19*100</f>
        <v>-0.47364441466241669</v>
      </c>
      <c r="V19" s="54">
        <f>+H19/O19*100</f>
        <v>-0.14950510929747657</v>
      </c>
      <c r="W19" s="54">
        <f>+I19/P19*100</f>
        <v>-0.11929355559598957</v>
      </c>
    </row>
    <row r="20" spans="1:23" ht="19.5" customHeight="1">
      <c r="A20" s="48">
        <v>13</v>
      </c>
      <c r="B20" s="51" t="s">
        <v>26</v>
      </c>
      <c r="C20" s="138">
        <v>-4646.8500000000004</v>
      </c>
      <c r="D20" s="138">
        <v>-4469.12</v>
      </c>
      <c r="E20" s="195">
        <v>-2942.65</v>
      </c>
      <c r="F20" s="195">
        <v>-6316.41</v>
      </c>
      <c r="G20" s="195">
        <v>-4820.68</v>
      </c>
      <c r="H20" s="195">
        <v>-5100.51</v>
      </c>
      <c r="I20" s="224">
        <v>-6808.85</v>
      </c>
      <c r="J20" s="55">
        <f ca="1">+'SOTR (%GSDP)'!J20</f>
        <v>113680</v>
      </c>
      <c r="K20" s="55">
        <f ca="1">+'SOTR (%GSDP)'!K20</f>
        <v>142279</v>
      </c>
      <c r="L20" s="55">
        <f ca="1">+'SOTR (%GSDP)'!L20</f>
        <v>162924</v>
      </c>
      <c r="M20" s="55">
        <f ca="1">+'SOTR (%GSDP)'!M20</f>
        <v>204289</v>
      </c>
      <c r="N20" s="55">
        <f ca="1">+'SOTR (%GSDP)'!N20</f>
        <v>247318</v>
      </c>
      <c r="O20" s="55">
        <f ca="1">+'SOTR (%GSDP)'!O20</f>
        <v>313995</v>
      </c>
      <c r="P20" s="55">
        <f ca="1">+'SOTR (%GSDP)'!P20</f>
        <v>368337</v>
      </c>
      <c r="Q20" s="54">
        <f t="shared" si="7"/>
        <v>-4.0876583391977483</v>
      </c>
      <c r="R20" s="54">
        <f t="shared" si="8"/>
        <v>-3.1410960155750325</v>
      </c>
      <c r="S20" s="54">
        <f t="shared" ref="S20:S35" si="9">+E20/L20*100</f>
        <v>-1.8061488792320346</v>
      </c>
      <c r="T20" s="54">
        <f t="shared" ref="T20:T35" si="10">+F20/M20*100</f>
        <v>-3.091899221201337</v>
      </c>
      <c r="U20" s="54">
        <f t="shared" ref="U20:U35" si="11">+G20/N20*100</f>
        <v>-1.9491828334371135</v>
      </c>
      <c r="V20" s="54">
        <f t="shared" ref="V20:W35" si="12">+H20/O20*100</f>
        <v>-1.6243921081545887</v>
      </c>
      <c r="W20" s="54">
        <f t="shared" si="12"/>
        <v>-1.8485381593486401</v>
      </c>
    </row>
    <row r="21" spans="1:23" ht="19.5" customHeight="1">
      <c r="A21" s="48">
        <v>14</v>
      </c>
      <c r="B21" s="51" t="s">
        <v>27</v>
      </c>
      <c r="C21" s="138">
        <v>-3038.81</v>
      </c>
      <c r="D21" s="138">
        <v>-1869.06</v>
      </c>
      <c r="E21" s="195">
        <v>-888.2</v>
      </c>
      <c r="F21" s="195">
        <v>-3363.79</v>
      </c>
      <c r="G21" s="195">
        <v>-3239.34</v>
      </c>
      <c r="H21" s="195">
        <v>-2606.1999999999998</v>
      </c>
      <c r="I21" s="224">
        <v>-2428.67</v>
      </c>
      <c r="J21" s="55">
        <f ca="1">+'SOTR (%GSDP)'!J21</f>
        <v>80255</v>
      </c>
      <c r="K21" s="55">
        <f ca="1">+'SOTR (%GSDP)'!K21</f>
        <v>96972</v>
      </c>
      <c r="L21" s="55">
        <f ca="1">+'SOTR (%GSDP)'!L21</f>
        <v>99364</v>
      </c>
      <c r="M21" s="55">
        <f ca="1">+'SOTR (%GSDP)'!M21</f>
        <v>119420</v>
      </c>
      <c r="N21" s="55">
        <f ca="1">+'SOTR (%GSDP)'!N21</f>
        <v>132872</v>
      </c>
      <c r="O21" s="55">
        <f ca="1">+'SOTR (%GSDP)'!O21</f>
        <v>153621</v>
      </c>
      <c r="P21" s="55">
        <f ca="1">+'SOTR (%GSDP)'!P21</f>
        <v>175961</v>
      </c>
      <c r="Q21" s="54">
        <f t="shared" si="7"/>
        <v>-3.7864432122609184</v>
      </c>
      <c r="R21" s="54">
        <f t="shared" si="8"/>
        <v>-1.9274223487192179</v>
      </c>
      <c r="S21" s="54">
        <f t="shared" si="9"/>
        <v>-0.893885109295117</v>
      </c>
      <c r="T21" s="54">
        <f t="shared" si="10"/>
        <v>-2.8167727348852787</v>
      </c>
      <c r="U21" s="54">
        <f t="shared" si="11"/>
        <v>-2.4379402733457765</v>
      </c>
      <c r="V21" s="54">
        <f t="shared" si="12"/>
        <v>-1.6965128465509274</v>
      </c>
      <c r="W21" s="54">
        <f t="shared" si="12"/>
        <v>-1.3802319832235554</v>
      </c>
    </row>
    <row r="22" spans="1:23" ht="19.5" customHeight="1">
      <c r="A22" s="48">
        <v>15</v>
      </c>
      <c r="B22" s="51" t="s">
        <v>28</v>
      </c>
      <c r="C22" s="138">
        <v>-69.900000000000006</v>
      </c>
      <c r="D22" s="138">
        <v>-102.85</v>
      </c>
      <c r="E22" s="195">
        <v>127.2</v>
      </c>
      <c r="F22" s="195">
        <v>-660</v>
      </c>
      <c r="G22" s="195">
        <v>120</v>
      </c>
      <c r="H22" s="195">
        <v>80</v>
      </c>
      <c r="I22" s="224">
        <v>75</v>
      </c>
      <c r="J22" s="55">
        <f ca="1">+'SOTR (%GSDP)'!J22</f>
        <v>19565</v>
      </c>
      <c r="K22" s="55">
        <f ca="1">+'SOTR (%GSDP)'!K22</f>
        <v>25414</v>
      </c>
      <c r="L22" s="55">
        <f ca="1">+'SOTR (%GSDP)'!L22</f>
        <v>29126</v>
      </c>
      <c r="M22" s="55">
        <f ca="1">+'SOTR (%GSDP)'!M22</f>
        <v>33605</v>
      </c>
      <c r="N22" s="55">
        <f ca="1">+'SOTR (%GSDP)'!N22</f>
        <v>36025</v>
      </c>
      <c r="O22" s="55">
        <f ca="1">+'SOTR (%GSDP)'!O22</f>
        <v>34965</v>
      </c>
      <c r="P22" s="55">
        <f ca="1">+'SOTR (%GSDP)'!P22</f>
        <v>39302.375411462228</v>
      </c>
      <c r="Q22" s="54">
        <f t="shared" si="7"/>
        <v>-0.35727063634040379</v>
      </c>
      <c r="R22" s="54">
        <f t="shared" si="8"/>
        <v>-0.4046981978437082</v>
      </c>
      <c r="S22" s="54">
        <f t="shared" si="9"/>
        <v>0.43672320263681935</v>
      </c>
      <c r="T22" s="54">
        <f t="shared" si="10"/>
        <v>-1.9639934533551555</v>
      </c>
      <c r="U22" s="54">
        <f t="shared" si="11"/>
        <v>0.33310201249132548</v>
      </c>
      <c r="V22" s="54">
        <f t="shared" si="12"/>
        <v>0.22880022880022882</v>
      </c>
      <c r="W22" s="54">
        <f t="shared" si="12"/>
        <v>0.19082816042240247</v>
      </c>
    </row>
    <row r="23" spans="1:23" ht="19.5" customHeight="1">
      <c r="A23" s="48">
        <v>16</v>
      </c>
      <c r="B23" s="51" t="s">
        <v>29</v>
      </c>
      <c r="C23" s="138">
        <v>-2826.07</v>
      </c>
      <c r="D23" s="138">
        <v>-818.68</v>
      </c>
      <c r="E23" s="195">
        <v>7104.45</v>
      </c>
      <c r="F23" s="195">
        <v>5080</v>
      </c>
      <c r="G23" s="195">
        <v>-1920</v>
      </c>
      <c r="H23" s="195">
        <v>-3620.0000000000005</v>
      </c>
      <c r="I23" s="224">
        <v>-8115</v>
      </c>
      <c r="J23" s="55">
        <f ca="1">+'SOTR (%GSDP)'!J23</f>
        <v>329285</v>
      </c>
      <c r="K23" s="55">
        <f ca="1">+'SOTR (%GSDP)'!K23</f>
        <v>367912</v>
      </c>
      <c r="L23" s="55">
        <f ca="1">+'SOTR (%GSDP)'!L23</f>
        <v>431262</v>
      </c>
      <c r="M23" s="55">
        <f ca="1">+'SOTR (%GSDP)'!M23</f>
        <v>521519</v>
      </c>
      <c r="N23" s="55">
        <f ca="1">+'SOTR (%GSDP)'!N23</f>
        <v>594563</v>
      </c>
      <c r="O23" s="55">
        <f ca="1">+'SOTR (%GSDP)'!O23</f>
        <v>670016</v>
      </c>
      <c r="P23" s="55">
        <f ca="1">+'SOTR (%GSDP)'!P23</f>
        <v>776933.66658041347</v>
      </c>
      <c r="Q23" s="54">
        <f t="shared" si="7"/>
        <v>-0.85824437797045117</v>
      </c>
      <c r="R23" s="54">
        <f t="shared" si="8"/>
        <v>-0.2225206027528322</v>
      </c>
      <c r="S23" s="54">
        <f t="shared" si="9"/>
        <v>1.6473628559900941</v>
      </c>
      <c r="T23" s="54">
        <f t="shared" si="10"/>
        <v>0.97407764626025128</v>
      </c>
      <c r="U23" s="171">
        <f t="shared" si="11"/>
        <v>-0.32292625003574055</v>
      </c>
      <c r="V23" s="54">
        <f t="shared" si="12"/>
        <v>-0.54028560511987778</v>
      </c>
      <c r="W23" s="54">
        <f t="shared" si="12"/>
        <v>-1.0444907138233903</v>
      </c>
    </row>
    <row r="24" spans="1:23" ht="19.5" customHeight="1">
      <c r="A24" s="48">
        <v>17</v>
      </c>
      <c r="B24" s="51" t="s">
        <v>30</v>
      </c>
      <c r="C24" s="138">
        <v>2224</v>
      </c>
      <c r="D24" s="138">
        <v>-2083</v>
      </c>
      <c r="E24" s="195">
        <v>-4264</v>
      </c>
      <c r="F24" s="195">
        <v>-2746</v>
      </c>
      <c r="G24" s="195">
        <v>-1457</v>
      </c>
      <c r="H24" s="195">
        <v>-4268</v>
      </c>
      <c r="I24" s="224">
        <v>-4622</v>
      </c>
      <c r="J24" s="55">
        <f ca="1">+'SOTR (%GSDP)'!J24</f>
        <v>151596</v>
      </c>
      <c r="K24" s="55">
        <f ca="1">+'SOTR (%GSDP)'!K24</f>
        <v>182522</v>
      </c>
      <c r="L24" s="55">
        <f ca="1">+'SOTR (%GSDP)'!L24</f>
        <v>223600</v>
      </c>
      <c r="M24" s="55">
        <f ca="1">+'SOTR (%GSDP)'!M24</f>
        <v>260621</v>
      </c>
      <c r="N24" s="55">
        <f ca="1">+'SOTR (%GSDP)'!N24</f>
        <v>301959</v>
      </c>
      <c r="O24" s="55">
        <f ca="1">+'SOTR (%GSDP)'!O24</f>
        <v>345238</v>
      </c>
      <c r="P24" s="55">
        <f ca="1">+'SOTR (%GSDP)'!P24</f>
        <v>392894</v>
      </c>
      <c r="Q24" s="54">
        <f t="shared" si="7"/>
        <v>1.4670571782896646</v>
      </c>
      <c r="R24" s="54">
        <f t="shared" si="8"/>
        <v>-1.1412322898061604</v>
      </c>
      <c r="S24" s="54">
        <f t="shared" si="9"/>
        <v>-1.9069767441860466</v>
      </c>
      <c r="T24" s="54">
        <f t="shared" si="10"/>
        <v>-1.0536372740492901</v>
      </c>
      <c r="U24" s="54">
        <f t="shared" si="11"/>
        <v>-0.48251583824294025</v>
      </c>
      <c r="V24" s="54">
        <f t="shared" si="12"/>
        <v>-1.2362486168961702</v>
      </c>
      <c r="W24" s="54">
        <f t="shared" si="12"/>
        <v>-1.1763987233197759</v>
      </c>
    </row>
    <row r="25" spans="1:23" ht="19.5" customHeight="1">
      <c r="A25" s="48">
        <v>18</v>
      </c>
      <c r="B25" s="51" t="s">
        <v>31</v>
      </c>
      <c r="C25" s="138">
        <v>1194.3800000000001</v>
      </c>
      <c r="D25" s="138">
        <v>328.98</v>
      </c>
      <c r="E25" s="195">
        <v>9.7799999999999994</v>
      </c>
      <c r="F25" s="195">
        <v>836.39</v>
      </c>
      <c r="G25" s="195">
        <v>-1427.87</v>
      </c>
      <c r="H25" s="195">
        <v>1369.68</v>
      </c>
      <c r="I25" s="224">
        <v>3163.82</v>
      </c>
      <c r="J25" s="55">
        <f ca="1">+'SOTR (%GSDP)'!J25</f>
        <v>83950</v>
      </c>
      <c r="K25" s="55">
        <f ca="1">+'SOTR (%GSDP)'!K25</f>
        <v>87794</v>
      </c>
      <c r="L25" s="55">
        <f ca="1">+'SOTR (%GSDP)'!L25</f>
        <v>100621</v>
      </c>
      <c r="M25" s="55">
        <f ca="1">+'SOTR (%GSDP)'!M25</f>
        <v>127281</v>
      </c>
      <c r="N25" s="55">
        <f ca="1">+'SOTR (%GSDP)'!N25</f>
        <v>143891</v>
      </c>
      <c r="O25" s="55">
        <f ca="1">+'SOTR (%GSDP)'!O25</f>
        <v>164876</v>
      </c>
      <c r="P25" s="55">
        <f ca="1">+'SOTR (%GSDP)'!P25</f>
        <v>189208</v>
      </c>
      <c r="Q25" s="54">
        <f t="shared" si="7"/>
        <v>1.4227278141751045</v>
      </c>
      <c r="R25" s="54">
        <f t="shared" si="8"/>
        <v>0.37471809007449258</v>
      </c>
      <c r="S25" s="54">
        <f t="shared" si="9"/>
        <v>9.719641029208614E-3</v>
      </c>
      <c r="T25" s="54">
        <f t="shared" si="10"/>
        <v>0.65712085857276414</v>
      </c>
      <c r="U25" s="54">
        <f t="shared" si="11"/>
        <v>-0.99232752569653415</v>
      </c>
      <c r="V25" s="54">
        <f t="shared" si="12"/>
        <v>0.8307333996457944</v>
      </c>
      <c r="W25" s="54">
        <f t="shared" si="12"/>
        <v>1.6721385987907491</v>
      </c>
    </row>
    <row r="26" spans="1:23" ht="19.5" customHeight="1">
      <c r="A26" s="48">
        <v>19</v>
      </c>
      <c r="B26" s="51" t="s">
        <v>32</v>
      </c>
      <c r="C26" s="138">
        <v>3776</v>
      </c>
      <c r="D26" s="138">
        <v>1631</v>
      </c>
      <c r="E26" s="195">
        <v>1619</v>
      </c>
      <c r="F26" s="195">
        <v>4172</v>
      </c>
      <c r="G26" s="195">
        <v>4691</v>
      </c>
      <c r="H26" s="195">
        <v>1883</v>
      </c>
      <c r="I26" s="224">
        <v>596</v>
      </c>
      <c r="J26" s="55">
        <f ca="1">+'SOTR (%GSDP)'!J26</f>
        <v>270629</v>
      </c>
      <c r="K26" s="55">
        <f ca="1">+'SOTR (%GSDP)'!K26</f>
        <v>310312</v>
      </c>
      <c r="L26" s="55">
        <f ca="1">+'SOTR (%GSDP)'!L26</f>
        <v>337559</v>
      </c>
      <c r="M26" s="55">
        <f ca="1">+'SOTR (%GSDP)'!M26</f>
        <v>410703</v>
      </c>
      <c r="N26" s="55">
        <f ca="1">+'SOTR (%GSDP)'!N26</f>
        <v>458894</v>
      </c>
      <c r="O26" s="55">
        <f ca="1">+'SOTR (%GSDP)'!O26</f>
        <v>524502</v>
      </c>
      <c r="P26" s="55">
        <f ca="1">+'SOTR (%GSDP)'!P26</f>
        <v>593811</v>
      </c>
      <c r="Q26" s="54">
        <f t="shared" si="7"/>
        <v>1.395268060703029</v>
      </c>
      <c r="R26" s="54">
        <f t="shared" si="8"/>
        <v>0.52560004124880766</v>
      </c>
      <c r="S26" s="54">
        <f t="shared" si="9"/>
        <v>0.47961985904686294</v>
      </c>
      <c r="T26" s="54">
        <f t="shared" si="10"/>
        <v>1.0158192172932752</v>
      </c>
      <c r="U26" s="54">
        <f t="shared" si="11"/>
        <v>1.0222404302518664</v>
      </c>
      <c r="V26" s="54">
        <f t="shared" si="12"/>
        <v>0.35900721064933977</v>
      </c>
      <c r="W26" s="54">
        <f t="shared" si="12"/>
        <v>0.10036863581173135</v>
      </c>
    </row>
    <row r="27" spans="1:23" ht="19.5" customHeight="1">
      <c r="A27" s="48">
        <v>20</v>
      </c>
      <c r="B27" s="51" t="s">
        <v>33</v>
      </c>
      <c r="C27" s="138">
        <v>3784.85</v>
      </c>
      <c r="D27" s="138">
        <v>3711.68</v>
      </c>
      <c r="E27" s="195">
        <v>5022.97</v>
      </c>
      <c r="F27" s="195">
        <v>3674.37</v>
      </c>
      <c r="G27" s="195">
        <v>8044.26</v>
      </c>
      <c r="H27" s="195">
        <v>3463.77</v>
      </c>
      <c r="I27" s="224">
        <v>2604.2399999999998</v>
      </c>
      <c r="J27" s="55">
        <f ca="1">+'SOTR (%GSDP)'!J27</f>
        <v>175141</v>
      </c>
      <c r="K27" s="55">
        <f ca="1">+'SOTR (%GSDP)'!K27</f>
        <v>202783</v>
      </c>
      <c r="L27" s="55">
        <f ca="1">+'SOTR (%GSDP)'!L27</f>
        <v>231999</v>
      </c>
      <c r="M27" s="55">
        <f ca="1">+'SOTR (%GSDP)'!M27</f>
        <v>263773</v>
      </c>
      <c r="N27" s="55">
        <f ca="1">+'SOTR (%GSDP)'!N27</f>
        <v>307906</v>
      </c>
      <c r="O27" s="55">
        <f ca="1">+'SOTR (%GSDP)'!O27</f>
        <v>349338</v>
      </c>
      <c r="P27" s="55">
        <f ca="1">+'SOTR (%GSDP)'!P27</f>
        <v>401072.42420974676</v>
      </c>
      <c r="Q27" s="54">
        <f t="shared" si="7"/>
        <v>2.1610302556226126</v>
      </c>
      <c r="R27" s="54">
        <f t="shared" si="8"/>
        <v>1.830370395940488</v>
      </c>
      <c r="S27" s="54">
        <f t="shared" si="9"/>
        <v>2.1650826081146901</v>
      </c>
      <c r="T27" s="54">
        <f t="shared" si="10"/>
        <v>1.3930045910688356</v>
      </c>
      <c r="U27" s="54">
        <f t="shared" si="11"/>
        <v>2.612570070086325</v>
      </c>
      <c r="V27" s="54">
        <f t="shared" si="12"/>
        <v>0.99152396819126454</v>
      </c>
      <c r="W27" s="54">
        <f t="shared" si="12"/>
        <v>0.64931913609649561</v>
      </c>
    </row>
    <row r="28" spans="1:23" ht="19.5" customHeight="1">
      <c r="A28" s="48">
        <v>21</v>
      </c>
      <c r="B28" s="51" t="s">
        <v>34</v>
      </c>
      <c r="C28" s="138">
        <v>-5087.62</v>
      </c>
      <c r="D28" s="138">
        <v>-4063.33</v>
      </c>
      <c r="E28" s="195">
        <v>-5497.8</v>
      </c>
      <c r="F28" s="195">
        <v>-6842.59</v>
      </c>
      <c r="G28" s="195">
        <v>-9910.3700000000008</v>
      </c>
      <c r="H28" s="195">
        <v>-7458.75</v>
      </c>
      <c r="I28" s="224">
        <v>5214.83</v>
      </c>
      <c r="J28" s="55">
        <f ca="1">+'SOTR (%GSDP)'!J28</f>
        <v>161479</v>
      </c>
      <c r="K28" s="55">
        <f ca="1">+'SOTR (%GSDP)'!K28</f>
        <v>197276</v>
      </c>
      <c r="L28" s="55">
        <f ca="1">+'SOTR (%GSDP)'!L28</f>
        <v>227557</v>
      </c>
      <c r="M28" s="55">
        <f ca="1">+'SOTR (%GSDP)'!M28</f>
        <v>263396</v>
      </c>
      <c r="N28" s="55">
        <f ca="1">+'SOTR (%GSDP)'!N28</f>
        <v>311670</v>
      </c>
      <c r="O28" s="55">
        <f ca="1">+'SOTR (%GSDP)'!O28</f>
        <v>372171</v>
      </c>
      <c r="P28" s="55">
        <f ca="1">+'SOTR (%GSDP)'!P28</f>
        <v>450900</v>
      </c>
      <c r="Q28" s="54">
        <f t="shared" si="7"/>
        <v>-3.1506387827519369</v>
      </c>
      <c r="R28" s="54">
        <f t="shared" si="8"/>
        <v>-2.0597183641193046</v>
      </c>
      <c r="S28" s="54">
        <f t="shared" si="9"/>
        <v>-2.4160100546236767</v>
      </c>
      <c r="T28" s="54">
        <f t="shared" si="10"/>
        <v>-2.597833680086258</v>
      </c>
      <c r="U28" s="54">
        <f t="shared" si="11"/>
        <v>-3.1797638527930183</v>
      </c>
      <c r="V28" s="54">
        <f t="shared" si="12"/>
        <v>-2.0041190742964927</v>
      </c>
      <c r="W28" s="54">
        <f t="shared" si="12"/>
        <v>1.156538035041029</v>
      </c>
    </row>
    <row r="29" spans="1:23" s="56" customFormat="1" ht="19.5" customHeight="1">
      <c r="A29" s="52">
        <v>22</v>
      </c>
      <c r="B29" s="53" t="s">
        <v>35</v>
      </c>
      <c r="C29" s="138">
        <v>-14803.11</v>
      </c>
      <c r="D29" s="138">
        <v>-5576.19</v>
      </c>
      <c r="E29" s="195">
        <v>8005.69</v>
      </c>
      <c r="F29" s="195">
        <v>591.54999999999995</v>
      </c>
      <c r="G29" s="195">
        <v>2268.06</v>
      </c>
      <c r="H29" s="195">
        <v>-152.47999999999999</v>
      </c>
      <c r="I29" s="224">
        <v>-1558</v>
      </c>
      <c r="J29" s="55">
        <f ca="1">+'SOTR (%GSDP)'!J29</f>
        <v>684817</v>
      </c>
      <c r="K29" s="55">
        <f ca="1">+'SOTR (%GSDP)'!K29</f>
        <v>753969</v>
      </c>
      <c r="L29" s="55">
        <f ca="1">+'SOTR (%GSDP)'!L29</f>
        <v>855751</v>
      </c>
      <c r="M29" s="55">
        <f ca="1">+'SOTR (%GSDP)'!M29</f>
        <v>1035086</v>
      </c>
      <c r="N29" s="55">
        <f ca="1">+'SOTR (%GSDP)'!N29</f>
        <v>1199548</v>
      </c>
      <c r="O29" s="55">
        <f ca="1">+'SOTR (%GSDP)'!O29</f>
        <v>1372644</v>
      </c>
      <c r="P29" s="55">
        <f ca="1">+'SOTR (%GSDP)'!P29</f>
        <v>1586151.7193253073</v>
      </c>
      <c r="Q29" s="54">
        <f t="shared" si="7"/>
        <v>-2.1616154388690703</v>
      </c>
      <c r="R29" s="54">
        <f t="shared" si="8"/>
        <v>-0.73957815241740699</v>
      </c>
      <c r="S29" s="54">
        <f t="shared" si="9"/>
        <v>0.93551628920094732</v>
      </c>
      <c r="T29" s="54">
        <f t="shared" si="10"/>
        <v>5.7149840689565891E-2</v>
      </c>
      <c r="U29" s="54">
        <f t="shared" si="11"/>
        <v>0.18907621870904709</v>
      </c>
      <c r="V29" s="54">
        <f t="shared" si="12"/>
        <v>-1.1108488435457409E-2</v>
      </c>
      <c r="W29" s="54">
        <f t="shared" si="12"/>
        <v>-9.8225155955618038E-2</v>
      </c>
    </row>
    <row r="30" spans="1:23" s="56" customFormat="1" ht="19.5" customHeight="1">
      <c r="A30" s="52">
        <v>23</v>
      </c>
      <c r="B30" s="53" t="s">
        <v>74</v>
      </c>
      <c r="C30" s="138">
        <v>-4243.92</v>
      </c>
      <c r="D30" s="138">
        <v>-3761.73</v>
      </c>
      <c r="E30" s="195">
        <v>-1138.6300000000001</v>
      </c>
      <c r="F30" s="195">
        <v>-3908.21</v>
      </c>
      <c r="G30" s="195">
        <v>-5606.77</v>
      </c>
      <c r="H30" s="195">
        <v>-5699.35</v>
      </c>
      <c r="I30" s="224">
        <v>-1904.61</v>
      </c>
      <c r="J30" s="55">
        <f ca="1">+'SOTR (%GSDP)'!J30</f>
        <v>129274</v>
      </c>
      <c r="K30" s="55">
        <f ca="1">+'SOTR (%GSDP)'!K30</f>
        <v>148491</v>
      </c>
      <c r="L30" s="55">
        <f ca="1">+'SOTR (%GSDP)'!L30</f>
        <v>162946</v>
      </c>
      <c r="M30" s="55">
        <f ca="1">+'SOTR (%GSDP)'!M30</f>
        <v>197530</v>
      </c>
      <c r="N30" s="55">
        <f ca="1">+'SOTR (%GSDP)'!N30</f>
        <v>214583</v>
      </c>
      <c r="O30" s="55">
        <f ca="1">+'SOTR (%GSDP)'!O30</f>
        <v>255459</v>
      </c>
      <c r="P30" s="55">
        <f ca="1">+'SOTR (%GSDP)'!P30</f>
        <v>288414</v>
      </c>
      <c r="Q30" s="54">
        <f t="shared" si="7"/>
        <v>-3.2828875102495476</v>
      </c>
      <c r="R30" s="54">
        <f t="shared" si="8"/>
        <v>-2.5333050487908357</v>
      </c>
      <c r="S30" s="54">
        <f t="shared" si="9"/>
        <v>-0.69877750911344871</v>
      </c>
      <c r="T30" s="54">
        <f t="shared" si="10"/>
        <v>-1.9785399686123626</v>
      </c>
      <c r="U30" s="54">
        <f t="shared" si="11"/>
        <v>-2.6128677481440752</v>
      </c>
      <c r="V30" s="54">
        <f t="shared" si="12"/>
        <v>-2.2310233736137697</v>
      </c>
      <c r="W30" s="54">
        <f t="shared" si="12"/>
        <v>-0.6603736295741538</v>
      </c>
    </row>
    <row r="31" spans="1:23" s="56" customFormat="1" ht="19.5" customHeight="1">
      <c r="A31" s="52">
        <v>24</v>
      </c>
      <c r="B31" s="53" t="s">
        <v>36</v>
      </c>
      <c r="C31" s="138">
        <v>3823.24</v>
      </c>
      <c r="D31" s="138">
        <v>3856.2</v>
      </c>
      <c r="E31" s="195">
        <v>5251.36</v>
      </c>
      <c r="F31" s="195">
        <v>5288.71</v>
      </c>
      <c r="G31" s="195">
        <v>6810.91</v>
      </c>
      <c r="H31" s="195">
        <v>7406.79</v>
      </c>
      <c r="I31" s="224">
        <v>1746.55</v>
      </c>
      <c r="J31" s="55">
        <f ca="1">+'SOTR (%GSDP)'!J31</f>
        <v>152245</v>
      </c>
      <c r="K31" s="55">
        <f ca="1">+'SOTR (%GSDP)'!K31</f>
        <v>174039</v>
      </c>
      <c r="L31" s="55">
        <f ca="1">+'SOTR (%GSDP)'!L31</f>
        <v>197500</v>
      </c>
      <c r="M31" s="55">
        <f ca="1">+'SOTR (%GSDP)'!M31</f>
        <v>226204</v>
      </c>
      <c r="N31" s="55">
        <f ca="1">+'SOTR (%GSDP)'!N31</f>
        <v>256430</v>
      </c>
      <c r="O31" s="55">
        <f ca="1">+'SOTR (%GSDP)'!O31</f>
        <v>286809</v>
      </c>
      <c r="P31" s="55">
        <f ca="1">+'SOTR (%GSDP)'!P31</f>
        <v>319117</v>
      </c>
      <c r="Q31" s="54">
        <f t="shared" si="7"/>
        <v>2.5112417484974876</v>
      </c>
      <c r="R31" s="54">
        <f t="shared" si="8"/>
        <v>2.215710271835623</v>
      </c>
      <c r="S31" s="54">
        <f t="shared" si="9"/>
        <v>2.6589164556962022</v>
      </c>
      <c r="T31" s="54">
        <f t="shared" si="10"/>
        <v>2.3380267369277288</v>
      </c>
      <c r="U31" s="54">
        <f t="shared" si="11"/>
        <v>2.6560503841204226</v>
      </c>
      <c r="V31" s="54">
        <f t="shared" si="12"/>
        <v>2.5824817212848967</v>
      </c>
      <c r="W31" s="54">
        <f t="shared" si="12"/>
        <v>0.54730710053052645</v>
      </c>
    </row>
    <row r="32" spans="1:23" s="56" customFormat="1" ht="19.5" customHeight="1">
      <c r="A32" s="52">
        <v>25</v>
      </c>
      <c r="B32" s="53" t="s">
        <v>37</v>
      </c>
      <c r="C32" s="138">
        <v>-1652.97</v>
      </c>
      <c r="D32" s="138">
        <v>826.75</v>
      </c>
      <c r="E32" s="195">
        <v>4747.18</v>
      </c>
      <c r="F32" s="195">
        <v>-1054.8499999999999</v>
      </c>
      <c r="G32" s="195">
        <v>-3357.45</v>
      </c>
      <c r="H32" s="195">
        <v>-3451.22</v>
      </c>
      <c r="I32" s="224">
        <v>-1025.8599999999999</v>
      </c>
      <c r="J32" s="55">
        <f ca="1">+'SOTR (%GSDP)'!J32</f>
        <v>194822</v>
      </c>
      <c r="K32" s="55">
        <f ca="1">+'SOTR (%GSDP)'!K32</f>
        <v>230949</v>
      </c>
      <c r="L32" s="55">
        <f ca="1">+'SOTR (%GSDP)'!L32</f>
        <v>265825</v>
      </c>
      <c r="M32" s="55">
        <f ca="1">+'SOTR (%GSDP)'!M32</f>
        <v>338348</v>
      </c>
      <c r="N32" s="55">
        <f ca="1">+'SOTR (%GSDP)'!N32</f>
        <v>403422</v>
      </c>
      <c r="O32" s="55">
        <f ca="1">+'SOTR (%GSDP)'!O32</f>
        <v>459215</v>
      </c>
      <c r="P32" s="55">
        <f ca="1">+'SOTR (%GSDP)'!P32</f>
        <v>513688</v>
      </c>
      <c r="Q32" s="54">
        <f t="shared" si="7"/>
        <v>-0.84845140692529597</v>
      </c>
      <c r="R32" s="54">
        <f t="shared" si="8"/>
        <v>0.35797946732828462</v>
      </c>
      <c r="S32" s="54">
        <f t="shared" si="9"/>
        <v>1.7858290228533813</v>
      </c>
      <c r="T32" s="54">
        <f t="shared" si="10"/>
        <v>-0.31176481019542007</v>
      </c>
      <c r="U32" s="54">
        <f t="shared" si="11"/>
        <v>-0.83224266400939961</v>
      </c>
      <c r="V32" s="54">
        <f t="shared" si="12"/>
        <v>-0.75154774996461349</v>
      </c>
      <c r="W32" s="54">
        <f t="shared" si="12"/>
        <v>-0.19970487922630079</v>
      </c>
    </row>
    <row r="33" spans="1:23" s="56" customFormat="1" ht="19.5" customHeight="1">
      <c r="A33" s="52">
        <v>26</v>
      </c>
      <c r="B33" s="53" t="s">
        <v>38</v>
      </c>
      <c r="C33" s="138">
        <v>-4545</v>
      </c>
      <c r="D33" s="138">
        <v>-1452.25</v>
      </c>
      <c r="E33" s="195">
        <v>3531.22</v>
      </c>
      <c r="F33" s="195">
        <v>2728.69</v>
      </c>
      <c r="G33" s="195">
        <v>-1364.1</v>
      </c>
      <c r="H33" s="195">
        <v>-2376.0700000000002</v>
      </c>
      <c r="I33" s="224">
        <v>-1179.2</v>
      </c>
      <c r="J33" s="55">
        <f ca="1">+'SOTR (%GSDP)'!J33</f>
        <v>350819</v>
      </c>
      <c r="K33" s="55">
        <f ca="1">+'SOTR (%GSDP)'!K33</f>
        <v>401336</v>
      </c>
      <c r="L33" s="55">
        <f ca="1">+'SOTR (%GSDP)'!L33</f>
        <v>479733</v>
      </c>
      <c r="M33" s="55">
        <f ca="1">+'SOTR (%GSDP)'!M33</f>
        <v>584896</v>
      </c>
      <c r="N33" s="55">
        <f ca="1">+'SOTR (%GSDP)'!N33</f>
        <v>665312</v>
      </c>
      <c r="O33" s="55">
        <f ca="1">+'SOTR (%GSDP)'!O33</f>
        <v>744474</v>
      </c>
      <c r="P33" s="55">
        <f ca="1">+'SOTR (%GSDP)'!P33</f>
        <v>850319</v>
      </c>
      <c r="Q33" s="54">
        <f t="shared" si="7"/>
        <v>-1.2955398652866579</v>
      </c>
      <c r="R33" s="54">
        <f t="shared" si="8"/>
        <v>-0.36185390794745548</v>
      </c>
      <c r="S33" s="54">
        <f t="shared" si="9"/>
        <v>0.73608027798796416</v>
      </c>
      <c r="T33" s="54">
        <f t="shared" si="10"/>
        <v>0.46652567294014669</v>
      </c>
      <c r="U33" s="54">
        <f t="shared" si="11"/>
        <v>-0.20503162426049734</v>
      </c>
      <c r="V33" s="54">
        <f t="shared" si="12"/>
        <v>-0.31916091092502896</v>
      </c>
      <c r="W33" s="54">
        <f t="shared" si="12"/>
        <v>-0.13867736696463329</v>
      </c>
    </row>
    <row r="34" spans="1:23" s="56" customFormat="1" ht="19.5" customHeight="1">
      <c r="A34" s="52">
        <v>27</v>
      </c>
      <c r="B34" s="53" t="s">
        <v>39</v>
      </c>
      <c r="C34" s="138">
        <v>-3449</v>
      </c>
      <c r="D34" s="138">
        <v>-1861.84</v>
      </c>
      <c r="E34" s="195">
        <v>-7047.3</v>
      </c>
      <c r="F34" s="195">
        <v>-3508.15</v>
      </c>
      <c r="G34" s="195">
        <v>-6984.53</v>
      </c>
      <c r="H34" s="195">
        <v>-5546</v>
      </c>
      <c r="I34" s="224">
        <v>-9856.01</v>
      </c>
      <c r="J34" s="55">
        <f ca="1">+'SOTR (%GSDP)'!J34</f>
        <v>383026</v>
      </c>
      <c r="K34" s="55">
        <f ca="1">+'SOTR (%GSDP)'!K34</f>
        <v>444685</v>
      </c>
      <c r="L34" s="55">
        <f ca="1">+'SOTR (%GSDP)'!L34</f>
        <v>523394</v>
      </c>
      <c r="M34" s="55">
        <f ca="1">+'SOTR (%GSDP)'!M34</f>
        <v>600164</v>
      </c>
      <c r="N34" s="55">
        <f ca="1">+'SOTR (%GSDP)'!N34</f>
        <v>679007</v>
      </c>
      <c r="O34" s="55">
        <f ca="1">+'SOTR (%GSDP)'!O34</f>
        <v>768930</v>
      </c>
      <c r="P34" s="55">
        <f ca="1">+'SOTR (%GSDP)'!P34</f>
        <v>886410</v>
      </c>
      <c r="Q34" s="54">
        <f t="shared" si="7"/>
        <v>-0.90046106530627168</v>
      </c>
      <c r="R34" s="54">
        <f t="shared" si="8"/>
        <v>-0.41868738545262379</v>
      </c>
      <c r="S34" s="54">
        <f t="shared" si="9"/>
        <v>-1.3464617477464396</v>
      </c>
      <c r="T34" s="54">
        <f t="shared" si="10"/>
        <v>-0.58453189461547173</v>
      </c>
      <c r="U34" s="54">
        <f t="shared" si="11"/>
        <v>-1.0286388800115462</v>
      </c>
      <c r="V34" s="54">
        <f t="shared" si="12"/>
        <v>-0.72126201344725782</v>
      </c>
      <c r="W34" s="54">
        <f t="shared" si="12"/>
        <v>-1.1119019415394682</v>
      </c>
    </row>
    <row r="35" spans="1:23" s="56" customFormat="1" ht="19.5" customHeight="1">
      <c r="A35" s="52">
        <v>28</v>
      </c>
      <c r="B35" s="53" t="s">
        <v>40</v>
      </c>
      <c r="C35" s="138">
        <v>8147.04</v>
      </c>
      <c r="D35" s="138">
        <v>14708.92</v>
      </c>
      <c r="E35" s="195">
        <v>21578.23</v>
      </c>
      <c r="F35" s="195">
        <v>17273.96</v>
      </c>
      <c r="G35" s="195">
        <v>14571.33</v>
      </c>
      <c r="H35" s="195">
        <v>13815.13</v>
      </c>
      <c r="I35" s="224">
        <v>3488.49</v>
      </c>
      <c r="J35" s="55">
        <f ca="1">+'SOTR (%GSDP)'!J35</f>
        <v>299483</v>
      </c>
      <c r="K35" s="55">
        <f ca="1">+'SOTR (%GSDP)'!K35</f>
        <v>341942</v>
      </c>
      <c r="L35" s="55">
        <f ca="1">+'SOTR (%GSDP)'!L35</f>
        <v>398880</v>
      </c>
      <c r="M35" s="55">
        <f ca="1">+'SOTR (%GSDP)'!M35</f>
        <v>460959</v>
      </c>
      <c r="N35" s="55">
        <f ca="1">+'SOTR (%GSDP)'!N35</f>
        <v>538209</v>
      </c>
      <c r="O35" s="55">
        <f ca="1">+'SOTR (%GSDP)'!O35</f>
        <v>620160</v>
      </c>
      <c r="P35" s="55">
        <f ca="1">+'SOTR (%GSDP)'!P35</f>
        <v>707848</v>
      </c>
      <c r="Q35" s="54">
        <f t="shared" si="7"/>
        <v>2.7203681010274372</v>
      </c>
      <c r="R35" s="54">
        <f t="shared" si="8"/>
        <v>4.301583309450141</v>
      </c>
      <c r="S35" s="54">
        <f t="shared" si="9"/>
        <v>5.4097046730846365</v>
      </c>
      <c r="T35" s="54">
        <f t="shared" si="10"/>
        <v>3.7473961892489354</v>
      </c>
      <c r="U35" s="54">
        <f t="shared" si="11"/>
        <v>2.7073739012168132</v>
      </c>
      <c r="V35" s="54">
        <f t="shared" si="12"/>
        <v>2.2276718911248707</v>
      </c>
      <c r="W35" s="54">
        <f t="shared" si="12"/>
        <v>0.49283038166386001</v>
      </c>
    </row>
    <row r="36" spans="1:23" s="59" customFormat="1" ht="19.5" customHeight="1">
      <c r="A36" s="47"/>
      <c r="B36" s="50" t="s">
        <v>190</v>
      </c>
      <c r="C36" s="139">
        <f t="shared" ref="C36:O36" si="13">SUM(C19:C35)</f>
        <v>-21572.730000000003</v>
      </c>
      <c r="D36" s="139">
        <f t="shared" si="13"/>
        <v>-1998.7499999999982</v>
      </c>
      <c r="E36" s="139">
        <f t="shared" si="13"/>
        <v>33988.080000000002</v>
      </c>
      <c r="F36" s="139">
        <f t="shared" si="13"/>
        <v>8783.619999999999</v>
      </c>
      <c r="G36" s="139">
        <f t="shared" si="13"/>
        <v>-6720.8800000000028</v>
      </c>
      <c r="H36" s="139">
        <f t="shared" si="13"/>
        <v>-13388.090000000002</v>
      </c>
      <c r="I36" s="225">
        <f t="shared" si="13"/>
        <v>-21632.050000000003</v>
      </c>
      <c r="J36" s="58">
        <f t="shared" si="13"/>
        <v>3944879</v>
      </c>
      <c r="K36" s="58">
        <f t="shared" si="13"/>
        <v>4535440</v>
      </c>
      <c r="L36" s="58">
        <f t="shared" si="13"/>
        <v>5204876</v>
      </c>
      <c r="M36" s="58">
        <f t="shared" si="13"/>
        <v>6231556</v>
      </c>
      <c r="N36" s="58">
        <f t="shared" si="13"/>
        <v>7154201</v>
      </c>
      <c r="O36" s="58">
        <f t="shared" si="13"/>
        <v>8190822</v>
      </c>
      <c r="P36" s="58">
        <f ca="1">SUM(P19:P35)</f>
        <v>9397731.1855269298</v>
      </c>
      <c r="Q36" s="57">
        <f t="shared" si="7"/>
        <v>-0.54685403532022159</v>
      </c>
      <c r="R36" s="57">
        <f t="shared" si="8"/>
        <v>-4.4069594129786706E-2</v>
      </c>
      <c r="S36" s="57">
        <f>+E36/L36*100</f>
        <v>0.65300460568128815</v>
      </c>
      <c r="T36" s="57">
        <f>+F36/M36*100</f>
        <v>0.14095388053962765</v>
      </c>
      <c r="U36" s="57">
        <f>+G36/N36*100</f>
        <v>-9.3943125165200175E-2</v>
      </c>
      <c r="V36" s="57">
        <f>+H36/O36*100</f>
        <v>-0.16345233726236516</v>
      </c>
      <c r="W36" s="57">
        <f>+I36/P36*100</f>
        <v>-0.23018374938532674</v>
      </c>
    </row>
    <row r="37" spans="1:23" s="56" customFormat="1" ht="19.5" customHeight="1">
      <c r="A37" s="52"/>
      <c r="B37" s="50" t="s">
        <v>42</v>
      </c>
      <c r="C37" s="139"/>
      <c r="D37" s="139"/>
      <c r="E37" s="195"/>
      <c r="F37" s="195"/>
      <c r="G37" s="195"/>
      <c r="H37" s="195"/>
      <c r="I37" s="225"/>
      <c r="J37" s="58"/>
      <c r="K37" s="58"/>
      <c r="L37" s="58"/>
      <c r="M37" s="58"/>
      <c r="N37" s="58"/>
      <c r="O37" s="58"/>
      <c r="P37" s="58"/>
      <c r="Q37" s="54"/>
      <c r="R37" s="54"/>
      <c r="S37" s="54"/>
      <c r="T37" s="54"/>
      <c r="U37" s="54"/>
      <c r="V37" s="54"/>
      <c r="W37" s="54"/>
    </row>
    <row r="38" spans="1:23" s="56" customFormat="1" ht="19.5" customHeight="1">
      <c r="A38" s="52">
        <v>29</v>
      </c>
      <c r="B38" s="53" t="s">
        <v>43</v>
      </c>
      <c r="C38" s="138">
        <v>-5141.87</v>
      </c>
      <c r="D38" s="138">
        <v>-4589.6499999999996</v>
      </c>
      <c r="E38" s="195">
        <v>-6550.45</v>
      </c>
      <c r="F38" s="195">
        <v>-10642.37</v>
      </c>
      <c r="G38" s="195">
        <v>-4428.3100000000004</v>
      </c>
      <c r="H38" s="195">
        <v>-4901.6099999999997</v>
      </c>
      <c r="I38" s="195">
        <v>-9712.8799999999992</v>
      </c>
      <c r="J38" s="55">
        <f ca="1">+'SOTR (%GSDP)'!J38</f>
        <v>157947</v>
      </c>
      <c r="K38" s="55">
        <f ca="1">+'SOTR (%GSDP)'!K38</f>
        <v>189533</v>
      </c>
      <c r="L38" s="55">
        <f ca="1">+'SOTR (%GSDP)'!L38</f>
        <v>217619</v>
      </c>
      <c r="M38" s="55">
        <f ca="1">+'SOTR (%GSDP)'!M38</f>
        <v>252753</v>
      </c>
      <c r="N38" s="55">
        <f ca="1">+'SOTR (%GSDP)'!N38</f>
        <v>296957</v>
      </c>
      <c r="O38" s="55">
        <f ca="1">+'SOTR (%GSDP)'!O38</f>
        <v>348221</v>
      </c>
      <c r="P38" s="55">
        <f ca="1">+'SOTR (%GSDP)'!P38</f>
        <v>404576</v>
      </c>
      <c r="Q38" s="54">
        <f t="shared" ref="Q38:S40" si="14">+C38/J38*100</f>
        <v>-3.2554401159882742</v>
      </c>
      <c r="R38" s="54">
        <f t="shared" si="14"/>
        <v>-2.4215571958445228</v>
      </c>
      <c r="S38" s="54">
        <f t="shared" si="14"/>
        <v>-3.0100542691584833</v>
      </c>
      <c r="T38" s="54">
        <f t="shared" ref="T38:W40" si="15">+F38/M38*100</f>
        <v>-4.2105810811345465</v>
      </c>
      <c r="U38" s="54">
        <f t="shared" si="15"/>
        <v>-1.4912293699087749</v>
      </c>
      <c r="V38" s="54">
        <f t="shared" si="15"/>
        <v>-1.4076147044549294</v>
      </c>
      <c r="W38" s="54">
        <f t="shared" si="15"/>
        <v>-2.4007553586965118</v>
      </c>
    </row>
    <row r="39" spans="1:23" s="56" customFormat="1" ht="19.5" customHeight="1">
      <c r="A39" s="52">
        <v>30</v>
      </c>
      <c r="B39" s="53" t="s">
        <v>44</v>
      </c>
      <c r="C39" s="138">
        <v>96</v>
      </c>
      <c r="D39" s="138">
        <v>111</v>
      </c>
      <c r="E39" s="195">
        <v>242</v>
      </c>
      <c r="F39" s="195">
        <v>340</v>
      </c>
      <c r="G39" s="195">
        <v>451</v>
      </c>
      <c r="H39" s="195">
        <v>-120.21</v>
      </c>
      <c r="I39" s="195">
        <v>-48.57</v>
      </c>
      <c r="J39" s="55">
        <f ca="1">+'SOTR (%GSDP)'!J39</f>
        <v>9251</v>
      </c>
      <c r="K39" s="55">
        <f ca="1">+'SOTR (%GSDP)'!K39</f>
        <v>10050</v>
      </c>
      <c r="L39" s="55">
        <f ca="1">+'SOTR (%GSDP)'!L39</f>
        <v>12304</v>
      </c>
      <c r="M39" s="55">
        <f ca="1">+'SOTR (%GSDP)'!M39</f>
        <v>13092</v>
      </c>
      <c r="N39" s="55">
        <f ca="1">+'SOTR (%GSDP)'!N39</f>
        <v>14630</v>
      </c>
      <c r="O39" s="55">
        <f ca="1">+'SOTR (%GSDP)'!O39</f>
        <v>17192</v>
      </c>
      <c r="P39" s="55">
        <f ca="1">+'SOTR (%GSDP)'!P39</f>
        <v>21500</v>
      </c>
      <c r="Q39" s="54">
        <f t="shared" si="14"/>
        <v>1.0377256512809427</v>
      </c>
      <c r="R39" s="54">
        <f t="shared" si="14"/>
        <v>1.1044776119402986</v>
      </c>
      <c r="S39" s="54">
        <f t="shared" si="14"/>
        <v>1.9668400520156046</v>
      </c>
      <c r="T39" s="54">
        <f t="shared" si="15"/>
        <v>2.5970058050717997</v>
      </c>
      <c r="U39" s="54">
        <f t="shared" si="15"/>
        <v>3.0827067669172932</v>
      </c>
      <c r="V39" s="54">
        <f t="shared" si="15"/>
        <v>-0.69922056770590968</v>
      </c>
      <c r="W39" s="54">
        <f t="shared" si="15"/>
        <v>-0.22590697674418603</v>
      </c>
    </row>
    <row r="40" spans="1:23" s="59" customFormat="1" ht="19.5" customHeight="1">
      <c r="A40" s="47"/>
      <c r="B40" s="50" t="s">
        <v>55</v>
      </c>
      <c r="C40" s="139">
        <f t="shared" ref="C40:M40" si="16">SUM(C38:C39)</f>
        <v>-5045.87</v>
      </c>
      <c r="D40" s="139">
        <f t="shared" si="16"/>
        <v>-4478.6499999999996</v>
      </c>
      <c r="E40" s="139">
        <f t="shared" si="16"/>
        <v>-6308.45</v>
      </c>
      <c r="F40" s="139">
        <f>SUM(F38:F39)</f>
        <v>-10302.370000000001</v>
      </c>
      <c r="G40" s="139">
        <f>SUM(G38:G39)</f>
        <v>-3977.3100000000004</v>
      </c>
      <c r="H40" s="139">
        <f>SUM(H38:H39)</f>
        <v>-5021.82</v>
      </c>
      <c r="I40" s="139">
        <f>SUM(I38:I39)</f>
        <v>-9761.4499999999989</v>
      </c>
      <c r="J40" s="58">
        <f t="shared" si="16"/>
        <v>167198</v>
      </c>
      <c r="K40" s="58">
        <f t="shared" si="16"/>
        <v>199583</v>
      </c>
      <c r="L40" s="58">
        <f t="shared" si="16"/>
        <v>229923</v>
      </c>
      <c r="M40" s="58">
        <f t="shared" si="16"/>
        <v>265845</v>
      </c>
      <c r="N40" s="58">
        <f>SUM(N38:N39)</f>
        <v>311587</v>
      </c>
      <c r="O40" s="58">
        <f>SUM(O38:O39)</f>
        <v>365413</v>
      </c>
      <c r="P40" s="58">
        <f>SUM(P38:P39)</f>
        <v>426076</v>
      </c>
      <c r="Q40" s="57">
        <f t="shared" si="14"/>
        <v>-3.0179009318293279</v>
      </c>
      <c r="R40" s="57">
        <f t="shared" si="14"/>
        <v>-2.2440037478141925</v>
      </c>
      <c r="S40" s="57">
        <f t="shared" si="14"/>
        <v>-2.7437228985355966</v>
      </c>
      <c r="T40" s="57">
        <f t="shared" si="15"/>
        <v>-3.8753296093588374</v>
      </c>
      <c r="U40" s="57">
        <f t="shared" si="15"/>
        <v>-1.2764685304585879</v>
      </c>
      <c r="V40" s="57">
        <f t="shared" si="15"/>
        <v>-1.374286081775963</v>
      </c>
      <c r="W40" s="57">
        <f t="shared" si="15"/>
        <v>-2.2910114627437355</v>
      </c>
    </row>
    <row r="41" spans="1:23" s="59" customFormat="1" ht="7.5" customHeight="1">
      <c r="A41" s="47"/>
      <c r="B41" s="50"/>
      <c r="C41" s="139"/>
      <c r="D41" s="139"/>
      <c r="E41" s="139"/>
      <c r="F41" s="139"/>
      <c r="G41" s="139"/>
      <c r="H41" s="139"/>
      <c r="I41" s="225"/>
      <c r="J41" s="58"/>
      <c r="K41" s="58"/>
      <c r="L41" s="58"/>
      <c r="M41" s="58"/>
      <c r="N41" s="58"/>
      <c r="O41" s="58"/>
      <c r="P41" s="58"/>
      <c r="Q41" s="57"/>
      <c r="R41" s="57"/>
      <c r="S41" s="57"/>
      <c r="T41" s="57"/>
      <c r="U41" s="57"/>
      <c r="V41" s="57"/>
      <c r="W41" s="57"/>
    </row>
    <row r="42" spans="1:23" s="59" customFormat="1" ht="12.75">
      <c r="A42" s="47"/>
      <c r="B42" s="50" t="s">
        <v>46</v>
      </c>
      <c r="C42" s="139">
        <f t="shared" ref="C42:M42" si="17">+C17+C36+C40</f>
        <v>-33376.640000000007</v>
      </c>
      <c r="D42" s="139">
        <f t="shared" si="17"/>
        <v>-16471.349999999999</v>
      </c>
      <c r="E42" s="139">
        <f t="shared" si="17"/>
        <v>22345.95</v>
      </c>
      <c r="F42" s="139">
        <f>+F17+F36+F40</f>
        <v>-9106.6000000000022</v>
      </c>
      <c r="G42" s="139">
        <f>+G17+G36+G40</f>
        <v>-17252.860000000004</v>
      </c>
      <c r="H42" s="139">
        <f>+H17+H36+H40</f>
        <v>-27743.39</v>
      </c>
      <c r="I42" s="225">
        <f>+I17+I36+I40</f>
        <v>-52267.98</v>
      </c>
      <c r="J42" s="58">
        <f t="shared" si="17"/>
        <v>4347593</v>
      </c>
      <c r="K42" s="58">
        <f t="shared" si="17"/>
        <v>5011438</v>
      </c>
      <c r="L42" s="58">
        <f t="shared" si="17"/>
        <v>5763838</v>
      </c>
      <c r="M42" s="58">
        <f t="shared" si="17"/>
        <v>6885743</v>
      </c>
      <c r="N42" s="58">
        <f>+N17+N36+N40</f>
        <v>7907554</v>
      </c>
      <c r="O42" s="58">
        <f>+O17+O36+O40</f>
        <v>9060004</v>
      </c>
      <c r="P42" s="58">
        <f>+P17+P36+P40</f>
        <v>10403785.896576375</v>
      </c>
      <c r="Q42" s="57">
        <f t="shared" ref="Q42:W42" si="18">+C42/J42*100</f>
        <v>-0.76770387660482498</v>
      </c>
      <c r="R42" s="57">
        <f t="shared" si="18"/>
        <v>-0.3286751227891076</v>
      </c>
      <c r="S42" s="57">
        <f t="shared" si="18"/>
        <v>0.38769219398602112</v>
      </c>
      <c r="T42" s="57">
        <f t="shared" si="18"/>
        <v>-0.1322529754595837</v>
      </c>
      <c r="U42" s="57">
        <f t="shared" si="18"/>
        <v>-0.21818200672420329</v>
      </c>
      <c r="V42" s="57">
        <f t="shared" si="18"/>
        <v>-0.30621829747536533</v>
      </c>
      <c r="W42" s="57">
        <f t="shared" si="18"/>
        <v>-0.50239384508287588</v>
      </c>
    </row>
    <row r="43" spans="1:23" s="14" customFormat="1" ht="12.75">
      <c r="A43" s="22"/>
      <c r="B43" s="582" t="s">
        <v>187</v>
      </c>
      <c r="C43" s="582"/>
      <c r="D43" s="582"/>
      <c r="E43" s="582"/>
      <c r="F43" s="582"/>
      <c r="G43" s="582"/>
      <c r="H43" s="582"/>
      <c r="I43" s="582"/>
      <c r="J43" s="582"/>
      <c r="K43" s="23"/>
      <c r="L43" s="23"/>
      <c r="M43" s="23"/>
      <c r="N43" s="23"/>
      <c r="O43" s="23"/>
      <c r="P43" s="23"/>
      <c r="Q43" s="23"/>
      <c r="R43" s="23"/>
    </row>
  </sheetData>
  <mergeCells count="7">
    <mergeCell ref="B43:J43"/>
    <mergeCell ref="B1:V1"/>
    <mergeCell ref="A2:A4"/>
    <mergeCell ref="B2:B3"/>
    <mergeCell ref="C2:I2"/>
    <mergeCell ref="J2:P2"/>
    <mergeCell ref="Q2:W2"/>
  </mergeCells>
  <phoneticPr fontId="42" type="noConversion"/>
  <printOptions horizontalCentered="1"/>
  <pageMargins left="0.35433070866141736" right="0.15748031496062992" top="0.78740157480314965" bottom="0.27559055118110237" header="0" footer="0"/>
  <pageSetup paperSize="9" scale="64" orientation="landscape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W4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RowHeight="15"/>
  <cols>
    <col min="1" max="1" width="5.7109375" style="61" customWidth="1"/>
    <col min="2" max="2" width="38" style="46" customWidth="1"/>
    <col min="3" max="4" width="11.7109375" style="46" customWidth="1"/>
    <col min="5" max="5" width="12.42578125" style="56" customWidth="1"/>
    <col min="6" max="6" width="12.7109375" style="56" customWidth="1"/>
    <col min="7" max="7" width="12.5703125" style="56" customWidth="1"/>
    <col min="8" max="9" width="12.140625" style="56" customWidth="1"/>
    <col min="10" max="15" width="11.7109375" style="46" customWidth="1"/>
    <col min="16" max="16" width="11.7109375" style="56" customWidth="1"/>
    <col min="17" max="22" width="11.7109375" style="46" customWidth="1"/>
    <col min="23" max="23" width="11" style="46" customWidth="1"/>
    <col min="24" max="16384" width="9.140625" style="46"/>
  </cols>
  <sheetData>
    <row r="1" spans="1:23" s="43" customFormat="1" ht="25.5" customHeight="1">
      <c r="A1" s="42"/>
      <c r="B1" s="615" t="s">
        <v>96</v>
      </c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</row>
    <row r="2" spans="1:23" s="44" customFormat="1" ht="34.5" customHeight="1">
      <c r="A2" s="616" t="s">
        <v>47</v>
      </c>
      <c r="B2" s="617" t="s">
        <v>97</v>
      </c>
      <c r="C2" s="622" t="s">
        <v>145</v>
      </c>
      <c r="D2" s="623"/>
      <c r="E2" s="623"/>
      <c r="F2" s="623"/>
      <c r="G2" s="623"/>
      <c r="H2" s="623"/>
      <c r="I2" s="624"/>
      <c r="J2" s="625" t="s">
        <v>185</v>
      </c>
      <c r="K2" s="625"/>
      <c r="L2" s="625"/>
      <c r="M2" s="625"/>
      <c r="N2" s="625"/>
      <c r="O2" s="625"/>
      <c r="P2" s="625"/>
      <c r="Q2" s="626" t="s">
        <v>146</v>
      </c>
      <c r="R2" s="627"/>
      <c r="S2" s="627"/>
      <c r="T2" s="627"/>
      <c r="U2" s="627"/>
      <c r="V2" s="627"/>
      <c r="W2" s="627"/>
    </row>
    <row r="3" spans="1:23" ht="18.75" customHeight="1">
      <c r="A3" s="616"/>
      <c r="B3" s="618"/>
      <c r="C3" s="45" t="s">
        <v>48</v>
      </c>
      <c r="D3" s="45" t="s">
        <v>49</v>
      </c>
      <c r="E3" s="47" t="s">
        <v>5</v>
      </c>
      <c r="F3" s="47" t="s">
        <v>6</v>
      </c>
      <c r="G3" s="47" t="s">
        <v>7</v>
      </c>
      <c r="H3" s="47" t="s">
        <v>122</v>
      </c>
      <c r="I3" s="47" t="s">
        <v>139</v>
      </c>
      <c r="J3" s="45" t="s">
        <v>48</v>
      </c>
      <c r="K3" s="45" t="s">
        <v>49</v>
      </c>
      <c r="L3" s="45" t="s">
        <v>5</v>
      </c>
      <c r="M3" s="45" t="s">
        <v>6</v>
      </c>
      <c r="N3" s="45" t="s">
        <v>7</v>
      </c>
      <c r="O3" s="45" t="s">
        <v>122</v>
      </c>
      <c r="P3" s="47" t="s">
        <v>139</v>
      </c>
      <c r="Q3" s="134" t="s">
        <v>48</v>
      </c>
      <c r="R3" s="134" t="s">
        <v>49</v>
      </c>
      <c r="S3" s="134" t="s">
        <v>5</v>
      </c>
      <c r="T3" s="134" t="s">
        <v>6</v>
      </c>
      <c r="U3" s="134" t="s">
        <v>7</v>
      </c>
      <c r="V3" s="134" t="s">
        <v>122</v>
      </c>
      <c r="W3" s="134" t="s">
        <v>139</v>
      </c>
    </row>
    <row r="4" spans="1:23" ht="17.25" customHeight="1">
      <c r="A4" s="616"/>
      <c r="B4" s="122">
        <v>41834</v>
      </c>
      <c r="C4" s="45" t="s">
        <v>8</v>
      </c>
      <c r="D4" s="45" t="s">
        <v>8</v>
      </c>
      <c r="E4" s="47" t="s">
        <v>8</v>
      </c>
      <c r="F4" s="47" t="s">
        <v>8</v>
      </c>
      <c r="G4" s="47" t="s">
        <v>8</v>
      </c>
      <c r="H4" s="47" t="s">
        <v>56</v>
      </c>
      <c r="I4" s="47" t="s">
        <v>10</v>
      </c>
      <c r="J4" s="45"/>
      <c r="K4" s="45"/>
      <c r="L4" s="45"/>
      <c r="M4" s="45"/>
      <c r="N4" s="45"/>
      <c r="O4" s="45"/>
      <c r="P4" s="47"/>
      <c r="Q4" s="134" t="s">
        <v>8</v>
      </c>
      <c r="R4" s="134" t="s">
        <v>8</v>
      </c>
      <c r="S4" s="134" t="s">
        <v>8</v>
      </c>
      <c r="T4" s="134" t="s">
        <v>8</v>
      </c>
      <c r="U4" s="134" t="s">
        <v>8</v>
      </c>
      <c r="V4" s="134" t="s">
        <v>9</v>
      </c>
      <c r="W4" s="134" t="s">
        <v>10</v>
      </c>
    </row>
    <row r="5" spans="1:23" ht="18.75" customHeight="1">
      <c r="A5" s="48"/>
      <c r="B5" s="49" t="s">
        <v>11</v>
      </c>
      <c r="C5" s="49"/>
      <c r="D5" s="49"/>
      <c r="E5" s="50"/>
      <c r="F5" s="50"/>
      <c r="G5" s="50"/>
      <c r="H5" s="50"/>
      <c r="I5" s="50"/>
      <c r="J5" s="49"/>
      <c r="K5" s="49"/>
      <c r="L5" s="49"/>
      <c r="M5" s="49"/>
      <c r="N5" s="49"/>
      <c r="O5" s="49"/>
      <c r="P5" s="50"/>
      <c r="Q5" s="137"/>
      <c r="R5" s="137"/>
      <c r="S5" s="137"/>
      <c r="T5" s="137"/>
      <c r="U5" s="137"/>
      <c r="V5" s="137"/>
      <c r="W5" s="137"/>
    </row>
    <row r="6" spans="1:23" s="56" customFormat="1" ht="18.75" customHeight="1">
      <c r="A6" s="52">
        <v>1</v>
      </c>
      <c r="B6" s="53" t="s">
        <v>12</v>
      </c>
      <c r="C6" s="54">
        <v>177.33</v>
      </c>
      <c r="D6" s="54">
        <v>482.66</v>
      </c>
      <c r="E6" s="54">
        <v>433.78</v>
      </c>
      <c r="F6" s="54">
        <v>24.64</v>
      </c>
      <c r="G6" s="54">
        <v>956.88</v>
      </c>
      <c r="H6" s="54">
        <v>233.11</v>
      </c>
      <c r="I6" s="54">
        <v>148.69999999999999</v>
      </c>
      <c r="J6" s="62">
        <f ca="1">+'Revenue Deficit (%GSDP)'!J6</f>
        <v>4810</v>
      </c>
      <c r="K6" s="62">
        <f ca="1">+'Revenue Deficit (%GSDP)'!K6</f>
        <v>5687</v>
      </c>
      <c r="L6" s="62">
        <f ca="1">+'Revenue Deficit (%GSDP)'!L6</f>
        <v>7474</v>
      </c>
      <c r="M6" s="62">
        <f ca="1">+'Revenue Deficit (%GSDP)'!M6</f>
        <v>9013</v>
      </c>
      <c r="N6" s="62">
        <f ca="1">+'Revenue Deficit (%GSDP)'!N6</f>
        <v>10619</v>
      </c>
      <c r="O6" s="62">
        <f ca="1">+'Revenue Deficit (%GSDP)'!O6</f>
        <v>12091</v>
      </c>
      <c r="P6" s="62">
        <f ca="1">+'Revenue Deficit (%GSDP)'!P6</f>
        <v>13382</v>
      </c>
      <c r="Q6" s="138">
        <f t="shared" ref="Q6:Q17" si="0">+C6/J6*100</f>
        <v>3.6866943866943869</v>
      </c>
      <c r="R6" s="138">
        <f t="shared" ref="R6:R17" si="1">+D6/K6*100</f>
        <v>8.4870757868823645</v>
      </c>
      <c r="S6" s="138">
        <f>+E6/L6*100</f>
        <v>5.8038533583088032</v>
      </c>
      <c r="T6" s="138">
        <f>+F6/M6*100</f>
        <v>0.27338289137911903</v>
      </c>
      <c r="U6" s="138">
        <f>+G6/N6*100</f>
        <v>9.011017986627742</v>
      </c>
      <c r="V6" s="138">
        <f>+H6/O6*100</f>
        <v>1.9279629476470102</v>
      </c>
      <c r="W6" s="138">
        <f>+I6/P6*100</f>
        <v>1.1111941413839486</v>
      </c>
    </row>
    <row r="7" spans="1:23" ht="18.75" customHeight="1">
      <c r="A7" s="52">
        <v>2</v>
      </c>
      <c r="B7" s="51" t="s">
        <v>13</v>
      </c>
      <c r="C7" s="54">
        <v>-752.87</v>
      </c>
      <c r="D7" s="54">
        <v>-1432.52</v>
      </c>
      <c r="E7" s="54">
        <v>1581.39</v>
      </c>
      <c r="F7" s="54">
        <v>2676.46</v>
      </c>
      <c r="G7" s="54">
        <v>1042.5</v>
      </c>
      <c r="H7" s="54">
        <v>2924.5</v>
      </c>
      <c r="I7" s="54">
        <v>3223.31</v>
      </c>
      <c r="J7" s="62">
        <f ca="1">+'Revenue Deficit (%GSDP)'!J7</f>
        <v>71076</v>
      </c>
      <c r="K7" s="62">
        <f ca="1">+'Revenue Deficit (%GSDP)'!K7</f>
        <v>81074</v>
      </c>
      <c r="L7" s="62">
        <f ca="1">+'Revenue Deficit (%GSDP)'!L7</f>
        <v>95975</v>
      </c>
      <c r="M7" s="62">
        <f ca="1">+'Revenue Deficit (%GSDP)'!M7</f>
        <v>112688</v>
      </c>
      <c r="N7" s="62">
        <f ca="1">+'Revenue Deficit (%GSDP)'!N7</f>
        <v>125820</v>
      </c>
      <c r="O7" s="62">
        <f ca="1">+'Revenue Deficit (%GSDP)'!O7</f>
        <v>141621</v>
      </c>
      <c r="P7" s="62">
        <f ca="1">+'Revenue Deficit (%GSDP)'!P7</f>
        <v>162652</v>
      </c>
      <c r="Q7" s="138">
        <f t="shared" si="0"/>
        <v>-1.0592464404299622</v>
      </c>
      <c r="R7" s="138">
        <f t="shared" si="1"/>
        <v>-1.7669289784641191</v>
      </c>
      <c r="S7" s="138">
        <f t="shared" ref="S7:S16" si="2">+E7/L7*100</f>
        <v>1.6477103412346965</v>
      </c>
      <c r="T7" s="138">
        <f t="shared" ref="T7:T16" si="3">+F7/M7*100</f>
        <v>2.3751064887121967</v>
      </c>
      <c r="U7" s="138">
        <f t="shared" ref="U7:U16" si="4">+G7/N7*100</f>
        <v>0.82856461611826426</v>
      </c>
      <c r="V7" s="138">
        <f t="shared" ref="V7:W16" si="5">+H7/O7*100</f>
        <v>2.065018605997698</v>
      </c>
      <c r="W7" s="138">
        <f t="shared" si="5"/>
        <v>1.9817217126134323</v>
      </c>
    </row>
    <row r="8" spans="1:23" ht="18.75" customHeight="1">
      <c r="A8" s="52">
        <v>3</v>
      </c>
      <c r="B8" s="51" t="s">
        <v>14</v>
      </c>
      <c r="C8" s="227">
        <v>551.58000000000004</v>
      </c>
      <c r="D8" s="227">
        <v>2277.88</v>
      </c>
      <c r="E8" s="54">
        <v>2783.92</v>
      </c>
      <c r="F8" s="54">
        <v>2532.56</v>
      </c>
      <c r="G8" s="54">
        <v>1633.04</v>
      </c>
      <c r="H8" s="54">
        <v>2978.41</v>
      </c>
      <c r="I8" s="54">
        <v>4754.6099999999997</v>
      </c>
      <c r="J8" s="62">
        <f ca="1">+'Revenue Deficit (%GSDP)'!J8</f>
        <v>33963</v>
      </c>
      <c r="K8" s="62">
        <f ca="1">+'Revenue Deficit (%GSDP)'!K8</f>
        <v>41483</v>
      </c>
      <c r="L8" s="62">
        <f ca="1">+'Revenue Deficit (%GSDP)'!L8</f>
        <v>48189</v>
      </c>
      <c r="M8" s="62">
        <f ca="1">+'Revenue Deficit (%GSDP)'!M8</f>
        <v>57452</v>
      </c>
      <c r="N8" s="62">
        <f ca="1">+'Revenue Deficit (%GSDP)'!N8</f>
        <v>64957</v>
      </c>
      <c r="O8" s="62">
        <f ca="1">+'Revenue Deficit (%GSDP)'!O8</f>
        <v>73710</v>
      </c>
      <c r="P8" s="62">
        <f ca="1">+'Revenue Deficit (%GSDP)'!P8</f>
        <v>82585</v>
      </c>
      <c r="Q8" s="138">
        <f t="shared" si="0"/>
        <v>1.6240614786679624</v>
      </c>
      <c r="R8" s="138">
        <f t="shared" si="1"/>
        <v>5.4911168430441384</v>
      </c>
      <c r="S8" s="138">
        <f t="shared" si="2"/>
        <v>5.7770860569839595</v>
      </c>
      <c r="T8" s="138">
        <f t="shared" si="3"/>
        <v>4.4081320058483602</v>
      </c>
      <c r="U8" s="138">
        <f t="shared" si="4"/>
        <v>2.5140323598688363</v>
      </c>
      <c r="V8" s="138">
        <f t="shared" si="5"/>
        <v>4.0407136073802734</v>
      </c>
      <c r="W8" s="138">
        <f t="shared" si="5"/>
        <v>5.7572319428467633</v>
      </c>
    </row>
    <row r="9" spans="1:23" s="56" customFormat="1" ht="18.75" customHeight="1">
      <c r="A9" s="52">
        <v>4</v>
      </c>
      <c r="B9" s="53" t="s">
        <v>52</v>
      </c>
      <c r="C9" s="54">
        <v>2269.29</v>
      </c>
      <c r="D9" s="54">
        <v>2709.16</v>
      </c>
      <c r="E9" s="54">
        <v>3900.96</v>
      </c>
      <c r="F9" s="54">
        <v>2366.83</v>
      </c>
      <c r="G9" s="54">
        <v>2833</v>
      </c>
      <c r="H9" s="54">
        <v>2974</v>
      </c>
      <c r="I9" s="54">
        <v>2490.14</v>
      </c>
      <c r="J9" s="62">
        <f ca="1">+'Revenue Deficit (%GSDP)'!J9</f>
        <v>37099</v>
      </c>
      <c r="K9" s="62">
        <f ca="1">+'Revenue Deficit (%GSDP)'!K9</f>
        <v>42315</v>
      </c>
      <c r="L9" s="62">
        <f ca="1">+'Revenue Deficit (%GSDP)'!L9</f>
        <v>48385</v>
      </c>
      <c r="M9" s="62">
        <f ca="1">+'Revenue Deficit (%GSDP)'!M9</f>
        <v>58073</v>
      </c>
      <c r="N9" s="62">
        <f ca="1">+'Revenue Deficit (%GSDP)'!N9</f>
        <v>65759</v>
      </c>
      <c r="O9" s="62">
        <f ca="1">+'Revenue Deficit (%GSDP)'!O9</f>
        <v>75574</v>
      </c>
      <c r="P9" s="62">
        <f ca="1">+'Revenue Deficit (%GSDP)'!P9</f>
        <v>87319</v>
      </c>
      <c r="Q9" s="138">
        <f t="shared" si="0"/>
        <v>6.1168495107684846</v>
      </c>
      <c r="R9" s="138">
        <f t="shared" si="1"/>
        <v>6.402363228169679</v>
      </c>
      <c r="S9" s="138">
        <f t="shared" si="2"/>
        <v>8.0623333677792708</v>
      </c>
      <c r="T9" s="138">
        <f t="shared" si="3"/>
        <v>4.0756117300638852</v>
      </c>
      <c r="U9" s="138">
        <f t="shared" si="4"/>
        <v>4.3081555376450371</v>
      </c>
      <c r="V9" s="138">
        <f t="shared" si="5"/>
        <v>3.9352158149628176</v>
      </c>
      <c r="W9" s="138">
        <f t="shared" si="5"/>
        <v>2.8517733826544047</v>
      </c>
    </row>
    <row r="10" spans="1:23" ht="18.75" customHeight="1">
      <c r="A10" s="52">
        <v>5</v>
      </c>
      <c r="B10" s="51" t="s">
        <v>16</v>
      </c>
      <c r="C10" s="54">
        <v>-102.15</v>
      </c>
      <c r="D10" s="54">
        <v>216.88</v>
      </c>
      <c r="E10" s="54">
        <v>732.55</v>
      </c>
      <c r="F10" s="54">
        <v>568.73</v>
      </c>
      <c r="G10" s="54">
        <v>1046.97</v>
      </c>
      <c r="H10" s="54">
        <v>1.05</v>
      </c>
      <c r="I10" s="54">
        <v>601.03</v>
      </c>
      <c r="J10" s="62">
        <f ca="1">+'Revenue Deficit (%GSDP)'!J10</f>
        <v>6783</v>
      </c>
      <c r="K10" s="62">
        <f ca="1">+'Revenue Deficit (%GSDP)'!K10</f>
        <v>7399</v>
      </c>
      <c r="L10" s="62">
        <f ca="1">+'Revenue Deficit (%GSDP)'!L10</f>
        <v>8254</v>
      </c>
      <c r="M10" s="62">
        <f ca="1">+'Revenue Deficit (%GSDP)'!M10</f>
        <v>9137</v>
      </c>
      <c r="N10" s="62">
        <f ca="1">+'Revenue Deficit (%GSDP)'!N10</f>
        <v>10504</v>
      </c>
      <c r="O10" s="62">
        <f ca="1">+'Revenue Deficit (%GSDP)'!O10</f>
        <v>11983</v>
      </c>
      <c r="P10" s="62">
        <f ca="1">+'Revenue Deficit (%GSDP)'!P10</f>
        <v>13433.125480627126</v>
      </c>
      <c r="Q10" s="138">
        <f t="shared" si="0"/>
        <v>-1.5059708093763824</v>
      </c>
      <c r="R10" s="138">
        <f t="shared" si="1"/>
        <v>2.9312069198540343</v>
      </c>
      <c r="S10" s="138">
        <f t="shared" si="2"/>
        <v>8.8750908650351352</v>
      </c>
      <c r="T10" s="138">
        <f t="shared" si="3"/>
        <v>6.2244719273284446</v>
      </c>
      <c r="U10" s="138">
        <f t="shared" si="4"/>
        <v>9.9673457730388417</v>
      </c>
      <c r="V10" s="138">
        <f t="shared" si="5"/>
        <v>8.7624134190102641E-3</v>
      </c>
      <c r="W10" s="138">
        <f t="shared" si="5"/>
        <v>4.4742379639555105</v>
      </c>
    </row>
    <row r="11" spans="1:23" s="56" customFormat="1" ht="18.75" customHeight="1">
      <c r="A11" s="52">
        <v>6</v>
      </c>
      <c r="B11" s="53" t="s">
        <v>17</v>
      </c>
      <c r="C11" s="54">
        <v>214.19</v>
      </c>
      <c r="D11" s="54">
        <v>435.09</v>
      </c>
      <c r="E11" s="54">
        <v>226.3</v>
      </c>
      <c r="F11" s="54">
        <v>341.39</v>
      </c>
      <c r="G11" s="54">
        <v>1065.25</v>
      </c>
      <c r="H11" s="54">
        <v>395.28</v>
      </c>
      <c r="I11" s="54">
        <v>526.37</v>
      </c>
      <c r="J11" s="62">
        <f ca="1">+'Revenue Deficit (%GSDP)'!J11</f>
        <v>9735</v>
      </c>
      <c r="K11" s="62">
        <f ca="1">+'Revenue Deficit (%GSDP)'!K11</f>
        <v>11617</v>
      </c>
      <c r="L11" s="62">
        <f ca="1">+'Revenue Deficit (%GSDP)'!L11</f>
        <v>12709</v>
      </c>
      <c r="M11" s="62">
        <f ca="1">+'Revenue Deficit (%GSDP)'!M11</f>
        <v>14583</v>
      </c>
      <c r="N11" s="62">
        <f ca="1">+'Revenue Deficit (%GSDP)'!N11</f>
        <v>16412</v>
      </c>
      <c r="O11" s="62">
        <f ca="1">+'Revenue Deficit (%GSDP)'!O11</f>
        <v>18135</v>
      </c>
      <c r="P11" s="62">
        <f ca="1">+'Revenue Deficit (%GSDP)'!P11</f>
        <v>20808</v>
      </c>
      <c r="Q11" s="138">
        <f t="shared" si="0"/>
        <v>2.2002054442732408</v>
      </c>
      <c r="R11" s="138">
        <f t="shared" si="1"/>
        <v>3.7452870792803648</v>
      </c>
      <c r="S11" s="138">
        <f t="shared" si="2"/>
        <v>1.7806279014871351</v>
      </c>
      <c r="T11" s="138">
        <f t="shared" si="3"/>
        <v>2.3410135088802031</v>
      </c>
      <c r="U11" s="138">
        <f t="shared" si="4"/>
        <v>6.4906775530099923</v>
      </c>
      <c r="V11" s="138">
        <f t="shared" si="5"/>
        <v>2.179652605459057</v>
      </c>
      <c r="W11" s="138">
        <f t="shared" si="5"/>
        <v>2.5296520569011922</v>
      </c>
    </row>
    <row r="12" spans="1:23" s="56" customFormat="1" ht="18.75" customHeight="1">
      <c r="A12" s="52">
        <v>7</v>
      </c>
      <c r="B12" s="53" t="s">
        <v>18</v>
      </c>
      <c r="C12" s="54">
        <v>391.49</v>
      </c>
      <c r="D12" s="54">
        <v>63.9</v>
      </c>
      <c r="E12" s="54">
        <v>344.26</v>
      </c>
      <c r="F12" s="54">
        <v>1077.2</v>
      </c>
      <c r="G12" s="54">
        <v>736.54</v>
      </c>
      <c r="H12" s="54">
        <v>-588.84</v>
      </c>
      <c r="I12" s="54">
        <v>613.95000000000005</v>
      </c>
      <c r="J12" s="62">
        <f ca="1">+'Revenue Deficit (%GSDP)'!J12</f>
        <v>3816</v>
      </c>
      <c r="K12" s="62">
        <f ca="1">+'Revenue Deficit (%GSDP)'!K12</f>
        <v>4577</v>
      </c>
      <c r="L12" s="62">
        <f ca="1">+'Revenue Deficit (%GSDP)'!L12</f>
        <v>5260</v>
      </c>
      <c r="M12" s="62">
        <f ca="1">+'Revenue Deficit (%GSDP)'!M12</f>
        <v>6388</v>
      </c>
      <c r="N12" s="171">
        <f ca="1">+'Revenue Deficit (%GSDP)'!N12</f>
        <v>7198</v>
      </c>
      <c r="O12" s="62">
        <f ca="1">+'Revenue Deficit (%GSDP)'!O12</f>
        <v>8053</v>
      </c>
      <c r="P12" s="62">
        <f ca="1">+'Revenue Deficit (%GSDP)'!P12</f>
        <v>9366.0879379254438</v>
      </c>
      <c r="Q12" s="138">
        <f t="shared" si="0"/>
        <v>10.259171907756812</v>
      </c>
      <c r="R12" s="138">
        <f t="shared" si="1"/>
        <v>1.3961109897312651</v>
      </c>
      <c r="S12" s="138">
        <f t="shared" si="2"/>
        <v>6.5448669201520913</v>
      </c>
      <c r="T12" s="138">
        <f t="shared" si="3"/>
        <v>16.862867877269881</v>
      </c>
      <c r="U12" s="172">
        <f t="shared" si="4"/>
        <v>10.232564601278133</v>
      </c>
      <c r="V12" s="138">
        <f t="shared" si="5"/>
        <v>-7.312057618278903</v>
      </c>
      <c r="W12" s="138">
        <f t="shared" si="5"/>
        <v>6.5550313435983805</v>
      </c>
    </row>
    <row r="13" spans="1:23" s="56" customFormat="1" ht="18.75" customHeight="1">
      <c r="A13" s="52">
        <v>8</v>
      </c>
      <c r="B13" s="53" t="s">
        <v>19</v>
      </c>
      <c r="C13" s="54">
        <v>397.29</v>
      </c>
      <c r="D13" s="54">
        <v>361.4</v>
      </c>
      <c r="E13" s="54">
        <v>492.7</v>
      </c>
      <c r="F13" s="54">
        <v>314.2</v>
      </c>
      <c r="G13" s="54">
        <v>538.99</v>
      </c>
      <c r="H13" s="54">
        <v>1217.8900000000001</v>
      </c>
      <c r="I13" s="54">
        <v>429.07</v>
      </c>
      <c r="J13" s="62">
        <f ca="1">+'Revenue Deficit (%GSDP)'!J13</f>
        <v>8075</v>
      </c>
      <c r="K13" s="62">
        <f ca="1">+'Revenue Deficit (%GSDP)'!K13</f>
        <v>9436</v>
      </c>
      <c r="L13" s="62">
        <f ca="1">+'Revenue Deficit (%GSDP)'!L13</f>
        <v>10527</v>
      </c>
      <c r="M13" s="62">
        <f ca="1">+'Revenue Deficit (%GSDP)'!M13</f>
        <v>11759</v>
      </c>
      <c r="N13" s="62">
        <f ca="1">+'Revenue Deficit (%GSDP)'!N13</f>
        <v>13203</v>
      </c>
      <c r="O13" s="62">
        <f ca="1">+'Revenue Deficit (%GSDP)'!O13</f>
        <v>14832</v>
      </c>
      <c r="P13" s="62">
        <f ca="1">+'Revenue Deficit (%GSDP)'!P13</f>
        <v>16703.207706222278</v>
      </c>
      <c r="Q13" s="138">
        <f t="shared" si="0"/>
        <v>4.92</v>
      </c>
      <c r="R13" s="138">
        <f t="shared" si="1"/>
        <v>3.8300127172530729</v>
      </c>
      <c r="S13" s="138">
        <f t="shared" si="2"/>
        <v>4.6803457775244608</v>
      </c>
      <c r="T13" s="138">
        <f t="shared" si="3"/>
        <v>2.6719959180202397</v>
      </c>
      <c r="U13" s="138">
        <f t="shared" si="4"/>
        <v>4.0823297735363173</v>
      </c>
      <c r="V13" s="138">
        <f t="shared" si="5"/>
        <v>8.2112324703344139</v>
      </c>
      <c r="W13" s="138">
        <f t="shared" si="5"/>
        <v>2.5687880289015559</v>
      </c>
    </row>
    <row r="14" spans="1:23" s="56" customFormat="1" ht="18.75" customHeight="1">
      <c r="A14" s="52">
        <v>9</v>
      </c>
      <c r="B14" s="53" t="s">
        <v>20</v>
      </c>
      <c r="C14" s="54">
        <v>6424</v>
      </c>
      <c r="D14" s="54">
        <v>234.01</v>
      </c>
      <c r="E14" s="54">
        <v>168.86</v>
      </c>
      <c r="F14" s="54">
        <v>316.25</v>
      </c>
      <c r="G14" s="54">
        <v>180.15</v>
      </c>
      <c r="H14" s="54">
        <v>65.58</v>
      </c>
      <c r="I14" s="54">
        <v>312</v>
      </c>
      <c r="J14" s="62">
        <f ca="1">+'Revenue Deficit (%GSDP)'!J14</f>
        <v>2506</v>
      </c>
      <c r="K14" s="62">
        <f ca="1">+'Revenue Deficit (%GSDP)'!K14</f>
        <v>3229</v>
      </c>
      <c r="L14" s="62">
        <f ca="1">+'Revenue Deficit (%GSDP)'!L14</f>
        <v>6133</v>
      </c>
      <c r="M14" s="62">
        <f ca="1">+'Revenue Deficit (%GSDP)'!M14</f>
        <v>7412</v>
      </c>
      <c r="N14" s="62">
        <f ca="1">+'Revenue Deficit (%GSDP)'!N14</f>
        <v>8616</v>
      </c>
      <c r="O14" s="62">
        <f ca="1">+'Revenue Deficit (%GSDP)'!O14</f>
        <v>9957</v>
      </c>
      <c r="P14" s="62">
        <f ca="1">+'Revenue Deficit (%GSDP)'!P14</f>
        <v>13261.907960807141</v>
      </c>
      <c r="Q14" s="138">
        <f t="shared" si="0"/>
        <v>256.3447725458899</v>
      </c>
      <c r="R14" s="138">
        <f t="shared" si="1"/>
        <v>7.2471353360173421</v>
      </c>
      <c r="S14" s="138">
        <f t="shared" si="2"/>
        <v>2.7533018098809721</v>
      </c>
      <c r="T14" s="138">
        <f t="shared" si="3"/>
        <v>4.2667296276308688</v>
      </c>
      <c r="U14" s="138">
        <f t="shared" si="4"/>
        <v>2.0908774373259051</v>
      </c>
      <c r="V14" s="138">
        <f t="shared" si="5"/>
        <v>0.65863211810786382</v>
      </c>
      <c r="W14" s="138">
        <f t="shared" si="5"/>
        <v>2.3526026641268531</v>
      </c>
    </row>
    <row r="15" spans="1:23" s="56" customFormat="1" ht="18.75" customHeight="1">
      <c r="A15" s="52">
        <v>10</v>
      </c>
      <c r="B15" s="53" t="s">
        <v>21</v>
      </c>
      <c r="C15" s="54">
        <v>16.010000000000002</v>
      </c>
      <c r="D15" s="54">
        <v>269.89</v>
      </c>
      <c r="E15" s="54">
        <v>1158.71</v>
      </c>
      <c r="F15" s="54">
        <v>247.34</v>
      </c>
      <c r="G15" s="54">
        <v>-258.62</v>
      </c>
      <c r="H15" s="54">
        <v>-336.56</v>
      </c>
      <c r="I15" s="54">
        <v>901.98</v>
      </c>
      <c r="J15" s="62">
        <f ca="1">+'Revenue Deficit (%GSDP)'!J15</f>
        <v>11797</v>
      </c>
      <c r="K15" s="62">
        <f ca="1">+'Revenue Deficit (%GSDP)'!K15</f>
        <v>13573</v>
      </c>
      <c r="L15" s="62">
        <f ca="1">+'Revenue Deficit (%GSDP)'!L15</f>
        <v>15403</v>
      </c>
      <c r="M15" s="62">
        <f ca="1">+'Revenue Deficit (%GSDP)'!M15</f>
        <v>17868</v>
      </c>
      <c r="N15" s="62">
        <f ca="1">+'Revenue Deficit (%GSDP)'!N15</f>
        <v>20982</v>
      </c>
      <c r="O15" s="62">
        <f ca="1">+'Revenue Deficit (%GSDP)'!O15</f>
        <v>23855</v>
      </c>
      <c r="P15" s="62">
        <f ca="1">+'Revenue Deficit (%GSDP)'!P15</f>
        <v>27499.381963863005</v>
      </c>
      <c r="Q15" s="138">
        <f t="shared" si="0"/>
        <v>0.1357124692718488</v>
      </c>
      <c r="R15" s="138">
        <f t="shared" si="1"/>
        <v>1.9884329182936711</v>
      </c>
      <c r="S15" s="138">
        <f t="shared" si="2"/>
        <v>7.5226254625722255</v>
      </c>
      <c r="T15" s="138">
        <f t="shared" si="3"/>
        <v>1.3842623684799642</v>
      </c>
      <c r="U15" s="138">
        <f t="shared" si="4"/>
        <v>-1.2325803069297492</v>
      </c>
      <c r="V15" s="138">
        <f t="shared" si="5"/>
        <v>-1.41085726262838</v>
      </c>
      <c r="W15" s="138">
        <f t="shared" si="5"/>
        <v>3.2800009876050806</v>
      </c>
    </row>
    <row r="16" spans="1:23" s="56" customFormat="1" ht="18.75" customHeight="1">
      <c r="A16" s="52">
        <v>11</v>
      </c>
      <c r="B16" s="53" t="s">
        <v>22</v>
      </c>
      <c r="C16" s="54">
        <v>1742.4</v>
      </c>
      <c r="D16" s="54">
        <v>1844.96</v>
      </c>
      <c r="E16" s="54">
        <v>2783.32</v>
      </c>
      <c r="F16" s="54">
        <v>1842.57</v>
      </c>
      <c r="G16" s="54">
        <v>1357.49</v>
      </c>
      <c r="H16" s="54">
        <v>1599.23</v>
      </c>
      <c r="I16" s="54">
        <v>3536.74</v>
      </c>
      <c r="J16" s="62">
        <f ca="1">+'Revenue Deficit (%GSDP)'!J16</f>
        <v>45856</v>
      </c>
      <c r="K16" s="62">
        <f ca="1">+'Revenue Deficit (%GSDP)'!K16</f>
        <v>56025</v>
      </c>
      <c r="L16" s="62">
        <f ca="1">+'Revenue Deficit (%GSDP)'!L16</f>
        <v>70730</v>
      </c>
      <c r="M16" s="62">
        <f ca="1">+'Revenue Deficit (%GSDP)'!M16</f>
        <v>83969</v>
      </c>
      <c r="N16" s="62">
        <f ca="1">+'Revenue Deficit (%GSDP)'!N16</f>
        <v>97696</v>
      </c>
      <c r="O16" s="62">
        <f ca="1">+'Revenue Deficit (%GSDP)'!O16</f>
        <v>113958</v>
      </c>
      <c r="P16" s="62">
        <f ca="1">+'Revenue Deficit (%GSDP)'!P16</f>
        <v>132969</v>
      </c>
      <c r="Q16" s="138">
        <f t="shared" si="0"/>
        <v>3.7997208653175156</v>
      </c>
      <c r="R16" s="138">
        <f t="shared" si="1"/>
        <v>3.2931012940651496</v>
      </c>
      <c r="S16" s="138">
        <f t="shared" si="2"/>
        <v>3.9351336066732649</v>
      </c>
      <c r="T16" s="138">
        <f t="shared" si="3"/>
        <v>2.1943455322797698</v>
      </c>
      <c r="U16" s="138">
        <f t="shared" si="4"/>
        <v>1.3895041762201112</v>
      </c>
      <c r="V16" s="138">
        <f t="shared" si="5"/>
        <v>1.403350357149125</v>
      </c>
      <c r="W16" s="138">
        <f t="shared" si="5"/>
        <v>2.6598229662552924</v>
      </c>
    </row>
    <row r="17" spans="1:23" s="59" customFormat="1" ht="18.75" customHeight="1">
      <c r="A17" s="47"/>
      <c r="B17" s="50" t="s">
        <v>23</v>
      </c>
      <c r="C17" s="57">
        <f t="shared" ref="C17:O17" si="6">SUM(C6:C16)</f>
        <v>11328.56</v>
      </c>
      <c r="D17" s="57">
        <f t="shared" si="6"/>
        <v>7463.31</v>
      </c>
      <c r="E17" s="57">
        <f t="shared" si="6"/>
        <v>14606.75</v>
      </c>
      <c r="F17" s="57">
        <f t="shared" si="6"/>
        <v>12308.17</v>
      </c>
      <c r="G17" s="57">
        <f t="shared" si="6"/>
        <v>11132.189999999999</v>
      </c>
      <c r="H17" s="57">
        <f t="shared" si="6"/>
        <v>11463.65</v>
      </c>
      <c r="I17" s="57">
        <f t="shared" si="6"/>
        <v>17537.900000000001</v>
      </c>
      <c r="J17" s="58">
        <f t="shared" si="6"/>
        <v>235516</v>
      </c>
      <c r="K17" s="58">
        <f t="shared" si="6"/>
        <v>276415</v>
      </c>
      <c r="L17" s="58">
        <f t="shared" si="6"/>
        <v>329039</v>
      </c>
      <c r="M17" s="58">
        <f t="shared" si="6"/>
        <v>388342</v>
      </c>
      <c r="N17" s="58">
        <f t="shared" si="6"/>
        <v>441766</v>
      </c>
      <c r="O17" s="58">
        <f t="shared" si="6"/>
        <v>503769</v>
      </c>
      <c r="P17" s="58">
        <f ca="1">SUM(P6:P16)</f>
        <v>579978.71104944497</v>
      </c>
      <c r="Q17" s="139">
        <f t="shared" si="0"/>
        <v>4.8101020737444582</v>
      </c>
      <c r="R17" s="139">
        <f t="shared" si="1"/>
        <v>2.7000379863610875</v>
      </c>
      <c r="S17" s="139">
        <f>+E17/L17*100</f>
        <v>4.4392154121547902</v>
      </c>
      <c r="T17" s="139">
        <f>+F17/M17*100</f>
        <v>3.1694151031822466</v>
      </c>
      <c r="U17" s="139">
        <f>+G17/N17*100</f>
        <v>2.519929102737648</v>
      </c>
      <c r="V17" s="139">
        <f>+H17/O17*100</f>
        <v>2.2755767028141869</v>
      </c>
      <c r="W17" s="139">
        <f>+I17/P17*100</f>
        <v>3.0238868540995192</v>
      </c>
    </row>
    <row r="18" spans="1:23" s="56" customFormat="1" ht="18.75" customHeight="1">
      <c r="A18" s="52"/>
      <c r="B18" s="50" t="s">
        <v>189</v>
      </c>
      <c r="C18" s="57"/>
      <c r="D18" s="57"/>
      <c r="E18" s="57"/>
      <c r="F18" s="57"/>
      <c r="G18" s="57"/>
      <c r="H18" s="57"/>
      <c r="I18" s="57"/>
      <c r="J18" s="58"/>
      <c r="K18" s="58"/>
      <c r="L18" s="58"/>
      <c r="M18" s="58"/>
      <c r="N18" s="58"/>
      <c r="O18" s="58"/>
      <c r="P18" s="58"/>
      <c r="Q18" s="138"/>
      <c r="R18" s="138"/>
      <c r="S18" s="139"/>
      <c r="T18" s="139"/>
      <c r="U18" s="139"/>
      <c r="V18" s="139"/>
      <c r="W18" s="139"/>
    </row>
    <row r="19" spans="1:23" ht="18.75" customHeight="1">
      <c r="A19" s="48">
        <v>12</v>
      </c>
      <c r="B19" s="51" t="s">
        <v>25</v>
      </c>
      <c r="C19" s="54">
        <v>8787</v>
      </c>
      <c r="D19" s="54">
        <v>12405.83</v>
      </c>
      <c r="E19" s="54">
        <v>14009.55</v>
      </c>
      <c r="F19" s="54">
        <v>11803.45</v>
      </c>
      <c r="G19" s="54">
        <v>15401.94</v>
      </c>
      <c r="H19" s="54">
        <v>17508.04</v>
      </c>
      <c r="I19" s="54">
        <v>24486.9</v>
      </c>
      <c r="J19" s="62">
        <f ca="1">+'Revenue Deficit (%GSDP)'!J19</f>
        <v>364813</v>
      </c>
      <c r="K19" s="62">
        <f ca="1">+'Revenue Deficit (%GSDP)'!K19</f>
        <v>426765</v>
      </c>
      <c r="L19" s="62">
        <f ca="1">+'Revenue Deficit (%GSDP)'!L19</f>
        <v>476835</v>
      </c>
      <c r="M19" s="62">
        <f ca="1">+'Revenue Deficit (%GSDP)'!M19</f>
        <v>583762</v>
      </c>
      <c r="N19" s="62">
        <f ca="1">+'Revenue Deficit (%GSDP)'!N19</f>
        <v>662592</v>
      </c>
      <c r="O19" s="62">
        <f ca="1">+'Revenue Deficit (%GSDP)'!O19</f>
        <v>754409</v>
      </c>
      <c r="P19" s="62">
        <f ca="1">+'Revenue Deficit (%GSDP)'!P19</f>
        <v>857364</v>
      </c>
      <c r="Q19" s="138">
        <f t="shared" ref="Q19:Q36" si="7">+C19/J19*100</f>
        <v>2.408631271363685</v>
      </c>
      <c r="R19" s="138">
        <f t="shared" ref="R19:R36" si="8">+D19/K19*100</f>
        <v>2.9069464459362879</v>
      </c>
      <c r="S19" s="138">
        <f>+E19/L19*100</f>
        <v>2.9380288779137436</v>
      </c>
      <c r="T19" s="138">
        <f>+F19/M19*100</f>
        <v>2.0219627176828912</v>
      </c>
      <c r="U19" s="138">
        <f>+G19/N19*100</f>
        <v>2.324498333816285</v>
      </c>
      <c r="V19" s="138">
        <f>+H19/O19*100</f>
        <v>2.3207623450939745</v>
      </c>
      <c r="W19" s="138">
        <f>+I19/P19*100</f>
        <v>2.8560681344213195</v>
      </c>
    </row>
    <row r="20" spans="1:23" ht="18.75" customHeight="1">
      <c r="A20" s="48">
        <v>13</v>
      </c>
      <c r="B20" s="51" t="s">
        <v>26</v>
      </c>
      <c r="C20" s="54">
        <v>1703.46</v>
      </c>
      <c r="D20" s="54">
        <v>2506.9699999999998</v>
      </c>
      <c r="E20" s="54">
        <v>5273.01</v>
      </c>
      <c r="F20" s="54">
        <v>3970.31</v>
      </c>
      <c r="G20" s="54">
        <v>5914.89</v>
      </c>
      <c r="H20" s="54">
        <v>6545.26</v>
      </c>
      <c r="I20" s="54">
        <v>8769.4500000000007</v>
      </c>
      <c r="J20" s="62">
        <f ca="1">+'Revenue Deficit (%GSDP)'!J20</f>
        <v>113680</v>
      </c>
      <c r="K20" s="62">
        <f ca="1">+'Revenue Deficit (%GSDP)'!K20</f>
        <v>142279</v>
      </c>
      <c r="L20" s="62">
        <f ca="1">+'Revenue Deficit (%GSDP)'!L20</f>
        <v>162924</v>
      </c>
      <c r="M20" s="62">
        <f ca="1">+'Revenue Deficit (%GSDP)'!M20</f>
        <v>204289</v>
      </c>
      <c r="N20" s="62">
        <f ca="1">+'Revenue Deficit (%GSDP)'!N20</f>
        <v>247318</v>
      </c>
      <c r="O20" s="62">
        <f ca="1">+'Revenue Deficit (%GSDP)'!O20</f>
        <v>313995</v>
      </c>
      <c r="P20" s="62">
        <f ca="1">+'Revenue Deficit (%GSDP)'!P20</f>
        <v>368337</v>
      </c>
      <c r="Q20" s="138">
        <f t="shared" si="7"/>
        <v>1.4984693877551021</v>
      </c>
      <c r="R20" s="138">
        <f t="shared" si="8"/>
        <v>1.7620098538786468</v>
      </c>
      <c r="S20" s="138">
        <f t="shared" ref="S20:S35" si="9">+E20/L20*100</f>
        <v>3.2364844958385506</v>
      </c>
      <c r="T20" s="138">
        <f t="shared" ref="T20:T35" si="10">+F20/M20*100</f>
        <v>1.9434771328852753</v>
      </c>
      <c r="U20" s="138">
        <f t="shared" ref="U20:U35" si="11">+G20/N20*100</f>
        <v>2.3916132266959949</v>
      </c>
      <c r="V20" s="138">
        <f t="shared" ref="V20:W35" si="12">+H20/O20*100</f>
        <v>2.0845108998550934</v>
      </c>
      <c r="W20" s="138">
        <f t="shared" si="12"/>
        <v>2.3808224533511431</v>
      </c>
    </row>
    <row r="21" spans="1:23" ht="18.75" customHeight="1">
      <c r="A21" s="48">
        <v>14</v>
      </c>
      <c r="B21" s="51" t="s">
        <v>27</v>
      </c>
      <c r="C21" s="54">
        <v>-345.64</v>
      </c>
      <c r="D21" s="54">
        <v>1026.6600000000001</v>
      </c>
      <c r="E21" s="54">
        <v>1759.02</v>
      </c>
      <c r="F21" s="54">
        <v>-409.77</v>
      </c>
      <c r="G21" s="54">
        <v>801.93</v>
      </c>
      <c r="H21" s="54">
        <v>2657.58</v>
      </c>
      <c r="I21" s="54">
        <v>5145.28</v>
      </c>
      <c r="J21" s="62">
        <f ca="1">+'Revenue Deficit (%GSDP)'!J21</f>
        <v>80255</v>
      </c>
      <c r="K21" s="62">
        <f ca="1">+'Revenue Deficit (%GSDP)'!K21</f>
        <v>96972</v>
      </c>
      <c r="L21" s="62">
        <f ca="1">+'Revenue Deficit (%GSDP)'!L21</f>
        <v>99364</v>
      </c>
      <c r="M21" s="62">
        <f ca="1">+'Revenue Deficit (%GSDP)'!M21</f>
        <v>119420</v>
      </c>
      <c r="N21" s="62">
        <f ca="1">+'Revenue Deficit (%GSDP)'!N21</f>
        <v>132872</v>
      </c>
      <c r="O21" s="62">
        <f ca="1">+'Revenue Deficit (%GSDP)'!O21</f>
        <v>153621</v>
      </c>
      <c r="P21" s="62">
        <f ca="1">+'Revenue Deficit (%GSDP)'!P21</f>
        <v>175961</v>
      </c>
      <c r="Q21" s="138">
        <f t="shared" si="7"/>
        <v>-0.43067721637281164</v>
      </c>
      <c r="R21" s="138">
        <f t="shared" si="8"/>
        <v>1.0587179804479645</v>
      </c>
      <c r="S21" s="138">
        <f t="shared" si="9"/>
        <v>1.7702789742763978</v>
      </c>
      <c r="T21" s="138">
        <f t="shared" si="10"/>
        <v>-0.34313347847931669</v>
      </c>
      <c r="U21" s="138">
        <f t="shared" si="11"/>
        <v>0.60353573363838875</v>
      </c>
      <c r="V21" s="138">
        <f t="shared" si="12"/>
        <v>1.7299587946960377</v>
      </c>
      <c r="W21" s="138">
        <f t="shared" si="12"/>
        <v>2.9241024999857923</v>
      </c>
    </row>
    <row r="22" spans="1:23" ht="18.75" customHeight="1">
      <c r="A22" s="48">
        <v>15</v>
      </c>
      <c r="B22" s="51" t="s">
        <v>28</v>
      </c>
      <c r="C22" s="54">
        <v>612.70000000000005</v>
      </c>
      <c r="D22" s="54">
        <v>916.16</v>
      </c>
      <c r="E22" s="54">
        <v>1242.04</v>
      </c>
      <c r="F22" s="54">
        <v>570</v>
      </c>
      <c r="G22" s="54">
        <v>1830</v>
      </c>
      <c r="H22" s="54">
        <v>2020</v>
      </c>
      <c r="I22" s="54">
        <v>9530</v>
      </c>
      <c r="J22" s="62">
        <f ca="1">+'Revenue Deficit (%GSDP)'!J22</f>
        <v>19565</v>
      </c>
      <c r="K22" s="62">
        <f ca="1">+'Revenue Deficit (%GSDP)'!K22</f>
        <v>25414</v>
      </c>
      <c r="L22" s="62">
        <f ca="1">+'Revenue Deficit (%GSDP)'!L22</f>
        <v>29126</v>
      </c>
      <c r="M22" s="62">
        <f ca="1">+'Revenue Deficit (%GSDP)'!M22</f>
        <v>33605</v>
      </c>
      <c r="N22" s="62">
        <f ca="1">+'Revenue Deficit (%GSDP)'!N22</f>
        <v>36025</v>
      </c>
      <c r="O22" s="62">
        <f ca="1">+'Revenue Deficit (%GSDP)'!O22</f>
        <v>34965</v>
      </c>
      <c r="P22" s="62">
        <f ca="1">+'Revenue Deficit (%GSDP)'!P22</f>
        <v>39302.375411462228</v>
      </c>
      <c r="Q22" s="138">
        <f t="shared" si="7"/>
        <v>3.1316125734730389</v>
      </c>
      <c r="R22" s="138">
        <f t="shared" si="8"/>
        <v>3.6049421578657435</v>
      </c>
      <c r="S22" s="138">
        <f t="shared" si="9"/>
        <v>4.2643686053697731</v>
      </c>
      <c r="T22" s="138">
        <f t="shared" si="10"/>
        <v>1.6961761642612705</v>
      </c>
      <c r="U22" s="138">
        <f t="shared" si="11"/>
        <v>5.0798056904927131</v>
      </c>
      <c r="V22" s="138">
        <f t="shared" si="12"/>
        <v>5.7772057772057774</v>
      </c>
      <c r="W22" s="138">
        <f t="shared" si="12"/>
        <v>24.247898251006607</v>
      </c>
    </row>
    <row r="23" spans="1:23" ht="18.75" customHeight="1">
      <c r="A23" s="48">
        <v>16</v>
      </c>
      <c r="B23" s="51" t="s">
        <v>29</v>
      </c>
      <c r="C23" s="54">
        <v>4095.25</v>
      </c>
      <c r="D23" s="54">
        <v>9553.11</v>
      </c>
      <c r="E23" s="54">
        <v>15291.81</v>
      </c>
      <c r="F23" s="54">
        <v>15069.999999999998</v>
      </c>
      <c r="G23" s="54">
        <v>12770</v>
      </c>
      <c r="H23" s="54">
        <v>17830</v>
      </c>
      <c r="I23" s="54">
        <v>10625</v>
      </c>
      <c r="J23" s="62">
        <f ca="1">+'Revenue Deficit (%GSDP)'!J23</f>
        <v>329285</v>
      </c>
      <c r="K23" s="62">
        <f ca="1">+'Revenue Deficit (%GSDP)'!K23</f>
        <v>367912</v>
      </c>
      <c r="L23" s="62">
        <f ca="1">+'Revenue Deficit (%GSDP)'!L23</f>
        <v>431262</v>
      </c>
      <c r="M23" s="62">
        <f ca="1">+'Revenue Deficit (%GSDP)'!M23</f>
        <v>521519</v>
      </c>
      <c r="N23" s="171">
        <f ca="1">+'Revenue Deficit (%GSDP)'!N23</f>
        <v>594563</v>
      </c>
      <c r="O23" s="62">
        <f ca="1">+'Revenue Deficit (%GSDP)'!O23</f>
        <v>670016</v>
      </c>
      <c r="P23" s="62">
        <f ca="1">+'Revenue Deficit (%GSDP)'!P23</f>
        <v>776933.66658041347</v>
      </c>
      <c r="Q23" s="138">
        <f t="shared" si="7"/>
        <v>1.2436794873741592</v>
      </c>
      <c r="R23" s="138">
        <f t="shared" si="8"/>
        <v>2.5965747243906154</v>
      </c>
      <c r="S23" s="138">
        <f t="shared" si="9"/>
        <v>3.5458282899954083</v>
      </c>
      <c r="T23" s="138">
        <f t="shared" si="10"/>
        <v>2.8896358521933041</v>
      </c>
      <c r="U23" s="172">
        <f t="shared" si="11"/>
        <v>2.1477959442481285</v>
      </c>
      <c r="V23" s="138">
        <f t="shared" si="12"/>
        <v>2.661130480466138</v>
      </c>
      <c r="W23" s="138">
        <f t="shared" si="12"/>
        <v>1.367555617298031</v>
      </c>
    </row>
    <row r="24" spans="1:23" ht="18.75" customHeight="1">
      <c r="A24" s="48">
        <v>17</v>
      </c>
      <c r="B24" s="51" t="s">
        <v>30</v>
      </c>
      <c r="C24" s="54">
        <v>1263</v>
      </c>
      <c r="D24" s="54">
        <v>6558</v>
      </c>
      <c r="E24" s="54">
        <v>10090</v>
      </c>
      <c r="F24" s="54">
        <v>7258</v>
      </c>
      <c r="G24" s="54">
        <v>7153</v>
      </c>
      <c r="H24" s="54">
        <v>10191</v>
      </c>
      <c r="I24" s="54">
        <v>52770</v>
      </c>
      <c r="J24" s="62">
        <f ca="1">+'Revenue Deficit (%GSDP)'!J24</f>
        <v>151596</v>
      </c>
      <c r="K24" s="62">
        <f ca="1">+'Revenue Deficit (%GSDP)'!K24</f>
        <v>182522</v>
      </c>
      <c r="L24" s="62">
        <f ca="1">+'Revenue Deficit (%GSDP)'!L24</f>
        <v>223600</v>
      </c>
      <c r="M24" s="62">
        <f ca="1">+'Revenue Deficit (%GSDP)'!M24</f>
        <v>260621</v>
      </c>
      <c r="N24" s="62">
        <f ca="1">+'Revenue Deficit (%GSDP)'!N24</f>
        <v>301959</v>
      </c>
      <c r="O24" s="62">
        <f ca="1">+'Revenue Deficit (%GSDP)'!O24</f>
        <v>345238</v>
      </c>
      <c r="P24" s="62">
        <f ca="1">+'Revenue Deficit (%GSDP)'!P24</f>
        <v>392894</v>
      </c>
      <c r="Q24" s="138">
        <f t="shared" si="7"/>
        <v>0.83313543892978714</v>
      </c>
      <c r="R24" s="138">
        <f t="shared" si="8"/>
        <v>3.5929915297881898</v>
      </c>
      <c r="S24" s="138">
        <f t="shared" si="9"/>
        <v>4.5125223613595704</v>
      </c>
      <c r="T24" s="138">
        <f t="shared" si="10"/>
        <v>2.7848868663691722</v>
      </c>
      <c r="U24" s="138">
        <f t="shared" si="11"/>
        <v>2.3688646471872006</v>
      </c>
      <c r="V24" s="138">
        <f t="shared" si="12"/>
        <v>2.951876676379773</v>
      </c>
      <c r="W24" s="138">
        <f t="shared" si="12"/>
        <v>13.431103554648328</v>
      </c>
    </row>
    <row r="25" spans="1:23" ht="18.75" customHeight="1">
      <c r="A25" s="48">
        <v>18</v>
      </c>
      <c r="B25" s="51" t="s">
        <v>31</v>
      </c>
      <c r="C25" s="227">
        <v>1942.61</v>
      </c>
      <c r="D25" s="227">
        <v>3121.58</v>
      </c>
      <c r="E25" s="54">
        <v>3011.01</v>
      </c>
      <c r="F25" s="54">
        <v>2111.36</v>
      </c>
      <c r="G25" s="54">
        <v>2000.58</v>
      </c>
      <c r="H25" s="54">
        <v>3506.44</v>
      </c>
      <c r="I25" s="54">
        <v>4090.98</v>
      </c>
      <c r="J25" s="62">
        <f ca="1">+'Revenue Deficit (%GSDP)'!J25</f>
        <v>83950</v>
      </c>
      <c r="K25" s="62">
        <f ca="1">+'Revenue Deficit (%GSDP)'!K25</f>
        <v>87794</v>
      </c>
      <c r="L25" s="62">
        <f ca="1">+'Revenue Deficit (%GSDP)'!L25</f>
        <v>100621</v>
      </c>
      <c r="M25" s="62">
        <f ca="1">+'Revenue Deficit (%GSDP)'!M25</f>
        <v>127281</v>
      </c>
      <c r="N25" s="62">
        <f ca="1">+'Revenue Deficit (%GSDP)'!N25</f>
        <v>143891</v>
      </c>
      <c r="O25" s="62">
        <f ca="1">+'Revenue Deficit (%GSDP)'!O25</f>
        <v>164876</v>
      </c>
      <c r="P25" s="62">
        <f ca="1">+'Revenue Deficit (%GSDP)'!P25</f>
        <v>189208</v>
      </c>
      <c r="Q25" s="138">
        <f t="shared" si="7"/>
        <v>2.3140083382966048</v>
      </c>
      <c r="R25" s="138">
        <f t="shared" si="8"/>
        <v>3.5555732738000319</v>
      </c>
      <c r="S25" s="138">
        <f t="shared" si="9"/>
        <v>2.9924270281551566</v>
      </c>
      <c r="T25" s="138">
        <f t="shared" si="10"/>
        <v>1.6588178911227915</v>
      </c>
      <c r="U25" s="138">
        <f t="shared" si="11"/>
        <v>1.3903440798938085</v>
      </c>
      <c r="V25" s="138">
        <f t="shared" si="12"/>
        <v>2.1267134088648438</v>
      </c>
      <c r="W25" s="138">
        <f t="shared" si="12"/>
        <v>2.1621601623609994</v>
      </c>
    </row>
    <row r="26" spans="1:23" ht="18.75" customHeight="1">
      <c r="A26" s="48">
        <v>19</v>
      </c>
      <c r="B26" s="51" t="s">
        <v>32</v>
      </c>
      <c r="C26" s="54">
        <v>5331</v>
      </c>
      <c r="D26" s="54">
        <v>8732.4599999999991</v>
      </c>
      <c r="E26" s="54">
        <v>10874</v>
      </c>
      <c r="F26" s="54">
        <v>10688</v>
      </c>
      <c r="G26" s="54">
        <v>12300</v>
      </c>
      <c r="H26" s="54">
        <v>14507</v>
      </c>
      <c r="I26" s="54">
        <v>17449</v>
      </c>
      <c r="J26" s="62">
        <f ca="1">+'Revenue Deficit (%GSDP)'!J26</f>
        <v>270629</v>
      </c>
      <c r="K26" s="62">
        <f ca="1">+'Revenue Deficit (%GSDP)'!K26</f>
        <v>310312</v>
      </c>
      <c r="L26" s="62">
        <f ca="1">+'Revenue Deficit (%GSDP)'!L26</f>
        <v>337559</v>
      </c>
      <c r="M26" s="62">
        <f ca="1">+'Revenue Deficit (%GSDP)'!M26</f>
        <v>410703</v>
      </c>
      <c r="N26" s="62">
        <f ca="1">+'Revenue Deficit (%GSDP)'!N26</f>
        <v>458894</v>
      </c>
      <c r="O26" s="62">
        <f ca="1">+'Revenue Deficit (%GSDP)'!O26</f>
        <v>524502</v>
      </c>
      <c r="P26" s="62">
        <f ca="1">+'Revenue Deficit (%GSDP)'!P26</f>
        <v>593811</v>
      </c>
      <c r="Q26" s="138">
        <f t="shared" si="7"/>
        <v>1.969855410913095</v>
      </c>
      <c r="R26" s="138">
        <f t="shared" si="8"/>
        <v>2.8140903348887569</v>
      </c>
      <c r="S26" s="138">
        <f t="shared" si="9"/>
        <v>3.2213627839873915</v>
      </c>
      <c r="T26" s="138">
        <f t="shared" si="10"/>
        <v>2.6023671606976331</v>
      </c>
      <c r="U26" s="138">
        <f t="shared" si="11"/>
        <v>2.6803575553395773</v>
      </c>
      <c r="V26" s="138">
        <f t="shared" si="12"/>
        <v>2.7658617126340794</v>
      </c>
      <c r="W26" s="138">
        <f t="shared" si="12"/>
        <v>2.938477057514933</v>
      </c>
    </row>
    <row r="27" spans="1:23" ht="18.75" customHeight="1">
      <c r="A27" s="48">
        <v>20</v>
      </c>
      <c r="B27" s="51" t="s">
        <v>33</v>
      </c>
      <c r="C27" s="54">
        <v>6100.2</v>
      </c>
      <c r="D27" s="54">
        <v>6346.23</v>
      </c>
      <c r="E27" s="54">
        <v>7871.61</v>
      </c>
      <c r="F27" s="54">
        <v>7730.96</v>
      </c>
      <c r="G27" s="54">
        <v>12824.76</v>
      </c>
      <c r="H27" s="54">
        <v>10726.79</v>
      </c>
      <c r="I27" s="54">
        <v>2794.86</v>
      </c>
      <c r="J27" s="62">
        <f ca="1">+'Revenue Deficit (%GSDP)'!J27</f>
        <v>175141</v>
      </c>
      <c r="K27" s="62">
        <f ca="1">+'Revenue Deficit (%GSDP)'!K27</f>
        <v>202783</v>
      </c>
      <c r="L27" s="62">
        <f ca="1">+'Revenue Deficit (%GSDP)'!L27</f>
        <v>231999</v>
      </c>
      <c r="M27" s="62">
        <f ca="1">+'Revenue Deficit (%GSDP)'!M27</f>
        <v>263773</v>
      </c>
      <c r="N27" s="62">
        <f ca="1">+'Revenue Deficit (%GSDP)'!N27</f>
        <v>307906</v>
      </c>
      <c r="O27" s="62">
        <f ca="1">+'Revenue Deficit (%GSDP)'!O27</f>
        <v>349338</v>
      </c>
      <c r="P27" s="62">
        <f ca="1">+'Revenue Deficit (%GSDP)'!P27</f>
        <v>401072.42420974676</v>
      </c>
      <c r="Q27" s="138">
        <f t="shared" si="7"/>
        <v>3.4830222506437671</v>
      </c>
      <c r="R27" s="138">
        <f t="shared" si="8"/>
        <v>3.1295670741630213</v>
      </c>
      <c r="S27" s="138">
        <f t="shared" si="9"/>
        <v>3.3929499696119381</v>
      </c>
      <c r="T27" s="138">
        <f t="shared" si="10"/>
        <v>2.9309140814260748</v>
      </c>
      <c r="U27" s="138">
        <f t="shared" si="11"/>
        <v>4.1651543003384157</v>
      </c>
      <c r="V27" s="138">
        <f t="shared" si="12"/>
        <v>3.0706049728343325</v>
      </c>
      <c r="W27" s="138">
        <f t="shared" si="12"/>
        <v>0.69684671178948643</v>
      </c>
    </row>
    <row r="28" spans="1:23" ht="18.75" customHeight="1">
      <c r="A28" s="48">
        <v>21</v>
      </c>
      <c r="B28" s="51" t="s">
        <v>34</v>
      </c>
      <c r="C28" s="54">
        <v>2783.93</v>
      </c>
      <c r="D28" s="54">
        <v>4433.6000000000004</v>
      </c>
      <c r="E28" s="54">
        <v>6198.92</v>
      </c>
      <c r="F28" s="54">
        <v>5272.03</v>
      </c>
      <c r="G28" s="54">
        <v>5861.18</v>
      </c>
      <c r="H28" s="54">
        <v>9420.2800000000007</v>
      </c>
      <c r="I28" s="54">
        <v>12220.53</v>
      </c>
      <c r="J28" s="62">
        <f ca="1">+'Revenue Deficit (%GSDP)'!J28</f>
        <v>161479</v>
      </c>
      <c r="K28" s="62">
        <f ca="1">+'Revenue Deficit (%GSDP)'!K28</f>
        <v>197276</v>
      </c>
      <c r="L28" s="62">
        <f ca="1">+'Revenue Deficit (%GSDP)'!L28</f>
        <v>227557</v>
      </c>
      <c r="M28" s="62">
        <f ca="1">+'Revenue Deficit (%GSDP)'!M28</f>
        <v>263396</v>
      </c>
      <c r="N28" s="62">
        <f ca="1">+'Revenue Deficit (%GSDP)'!N28</f>
        <v>311670</v>
      </c>
      <c r="O28" s="62">
        <f ca="1">+'Revenue Deficit (%GSDP)'!O28</f>
        <v>372171</v>
      </c>
      <c r="P28" s="62">
        <f ca="1">+'Revenue Deficit (%GSDP)'!P28</f>
        <v>450900</v>
      </c>
      <c r="Q28" s="138">
        <f t="shared" si="7"/>
        <v>1.7240198415893087</v>
      </c>
      <c r="R28" s="138">
        <f t="shared" si="8"/>
        <v>2.2474097203917358</v>
      </c>
      <c r="S28" s="138">
        <f t="shared" si="9"/>
        <v>2.7241174738636911</v>
      </c>
      <c r="T28" s="138">
        <f t="shared" si="10"/>
        <v>2.001560388160792</v>
      </c>
      <c r="U28" s="138">
        <f t="shared" si="11"/>
        <v>1.880572400295184</v>
      </c>
      <c r="V28" s="138">
        <f t="shared" si="12"/>
        <v>2.5311698117263304</v>
      </c>
      <c r="W28" s="138">
        <f t="shared" si="12"/>
        <v>2.7102528276779778</v>
      </c>
    </row>
    <row r="29" spans="1:23" s="56" customFormat="1" ht="18.75" customHeight="1">
      <c r="A29" s="52">
        <v>22</v>
      </c>
      <c r="B29" s="53" t="s">
        <v>35</v>
      </c>
      <c r="C29" s="54">
        <v>-2820.93</v>
      </c>
      <c r="D29" s="54">
        <v>14016.77</v>
      </c>
      <c r="E29" s="54">
        <v>26155.34</v>
      </c>
      <c r="F29" s="54">
        <v>18856.66</v>
      </c>
      <c r="G29" s="54">
        <v>20425.14</v>
      </c>
      <c r="H29" s="54">
        <v>23065.72</v>
      </c>
      <c r="I29" s="54">
        <v>18011</v>
      </c>
      <c r="J29" s="62">
        <f ca="1">+'Revenue Deficit (%GSDP)'!J29</f>
        <v>684817</v>
      </c>
      <c r="K29" s="62">
        <f ca="1">+'Revenue Deficit (%GSDP)'!K29</f>
        <v>753969</v>
      </c>
      <c r="L29" s="62">
        <f ca="1">+'Revenue Deficit (%GSDP)'!L29</f>
        <v>855751</v>
      </c>
      <c r="M29" s="62">
        <f ca="1">+'Revenue Deficit (%GSDP)'!M29</f>
        <v>1035086</v>
      </c>
      <c r="N29" s="62">
        <f ca="1">+'Revenue Deficit (%GSDP)'!N29</f>
        <v>1199548</v>
      </c>
      <c r="O29" s="62">
        <f ca="1">+'Revenue Deficit (%GSDP)'!O29</f>
        <v>1372644</v>
      </c>
      <c r="P29" s="62">
        <f ca="1">+'Revenue Deficit (%GSDP)'!P29</f>
        <v>1586151.7193253073</v>
      </c>
      <c r="Q29" s="138">
        <f t="shared" si="7"/>
        <v>-0.41192464556224506</v>
      </c>
      <c r="R29" s="138">
        <f t="shared" si="8"/>
        <v>1.8590644973467081</v>
      </c>
      <c r="S29" s="138">
        <f t="shared" si="9"/>
        <v>3.0564194491154555</v>
      </c>
      <c r="T29" s="138">
        <f t="shared" si="10"/>
        <v>1.821748144598613</v>
      </c>
      <c r="U29" s="138">
        <f t="shared" si="11"/>
        <v>1.7027363640304514</v>
      </c>
      <c r="V29" s="138">
        <f t="shared" si="12"/>
        <v>1.6803861744195876</v>
      </c>
      <c r="W29" s="138">
        <f t="shared" si="12"/>
        <v>1.135515586596044</v>
      </c>
    </row>
    <row r="30" spans="1:23" s="56" customFormat="1" ht="18.75" customHeight="1">
      <c r="A30" s="52">
        <v>23</v>
      </c>
      <c r="B30" s="53" t="s">
        <v>74</v>
      </c>
      <c r="C30" s="54">
        <v>-1323.13</v>
      </c>
      <c r="D30" s="54">
        <v>-7.8</v>
      </c>
      <c r="E30" s="54">
        <v>2256.06</v>
      </c>
      <c r="F30" s="54">
        <v>657.76</v>
      </c>
      <c r="G30" s="54">
        <v>-621.75</v>
      </c>
      <c r="H30" s="54">
        <v>-3.61</v>
      </c>
      <c r="I30" s="54">
        <v>937.27</v>
      </c>
      <c r="J30" s="62">
        <f ca="1">+'Revenue Deficit (%GSDP)'!J30</f>
        <v>129274</v>
      </c>
      <c r="K30" s="62">
        <f ca="1">+'Revenue Deficit (%GSDP)'!K30</f>
        <v>148491</v>
      </c>
      <c r="L30" s="62">
        <f ca="1">+'Revenue Deficit (%GSDP)'!L30</f>
        <v>162946</v>
      </c>
      <c r="M30" s="62">
        <f ca="1">+'Revenue Deficit (%GSDP)'!M30</f>
        <v>197530</v>
      </c>
      <c r="N30" s="62">
        <f ca="1">+'Revenue Deficit (%GSDP)'!N30</f>
        <v>214583</v>
      </c>
      <c r="O30" s="62">
        <f ca="1">+'Revenue Deficit (%GSDP)'!O30</f>
        <v>255459</v>
      </c>
      <c r="P30" s="62">
        <f ca="1">+'Revenue Deficit (%GSDP)'!P30</f>
        <v>288414</v>
      </c>
      <c r="Q30" s="138">
        <f t="shared" si="7"/>
        <v>-1.0235082073734858</v>
      </c>
      <c r="R30" s="138">
        <f t="shared" si="8"/>
        <v>-5.2528436066832333E-3</v>
      </c>
      <c r="S30" s="138">
        <f t="shared" si="9"/>
        <v>1.38454457304874</v>
      </c>
      <c r="T30" s="138">
        <f t="shared" si="10"/>
        <v>0.33299245684199869</v>
      </c>
      <c r="U30" s="138">
        <f t="shared" si="11"/>
        <v>-0.28974802290955015</v>
      </c>
      <c r="V30" s="138">
        <f t="shared" si="12"/>
        <v>-1.4131426177977681E-3</v>
      </c>
      <c r="W30" s="138">
        <f t="shared" si="12"/>
        <v>0.32497382235259037</v>
      </c>
    </row>
    <row r="31" spans="1:23" s="56" customFormat="1" ht="18.75" customHeight="1">
      <c r="A31" s="52">
        <v>24</v>
      </c>
      <c r="B31" s="53" t="s">
        <v>36</v>
      </c>
      <c r="C31" s="54">
        <v>4603.83</v>
      </c>
      <c r="D31" s="54">
        <v>6690.45</v>
      </c>
      <c r="E31" s="54">
        <v>6170.09</v>
      </c>
      <c r="F31" s="54">
        <v>7143.3</v>
      </c>
      <c r="G31" s="54">
        <v>8491.14</v>
      </c>
      <c r="H31" s="54">
        <v>9345.83</v>
      </c>
      <c r="I31" s="54">
        <v>9257.61</v>
      </c>
      <c r="J31" s="62">
        <f ca="1">+'Revenue Deficit (%GSDP)'!J31</f>
        <v>152245</v>
      </c>
      <c r="K31" s="62">
        <f ca="1">+'Revenue Deficit (%GSDP)'!K31</f>
        <v>174039</v>
      </c>
      <c r="L31" s="62">
        <f ca="1">+'Revenue Deficit (%GSDP)'!L31</f>
        <v>197500</v>
      </c>
      <c r="M31" s="62">
        <f ca="1">+'Revenue Deficit (%GSDP)'!M31</f>
        <v>226204</v>
      </c>
      <c r="N31" s="62">
        <f ca="1">+'Revenue Deficit (%GSDP)'!N31</f>
        <v>256430</v>
      </c>
      <c r="O31" s="62">
        <f ca="1">+'Revenue Deficit (%GSDP)'!O31</f>
        <v>286809</v>
      </c>
      <c r="P31" s="62">
        <f ca="1">+'Revenue Deficit (%GSDP)'!P31</f>
        <v>319117</v>
      </c>
      <c r="Q31" s="138">
        <f t="shared" si="7"/>
        <v>3.0239613780419718</v>
      </c>
      <c r="R31" s="138">
        <f t="shared" si="8"/>
        <v>3.8442245703549203</v>
      </c>
      <c r="S31" s="138">
        <f t="shared" si="9"/>
        <v>3.1240962025316459</v>
      </c>
      <c r="T31" s="138">
        <f t="shared" si="10"/>
        <v>3.1579017170341817</v>
      </c>
      <c r="U31" s="138">
        <f t="shared" si="11"/>
        <v>3.3112896306984356</v>
      </c>
      <c r="V31" s="138">
        <f t="shared" si="12"/>
        <v>3.2585553451948854</v>
      </c>
      <c r="W31" s="138">
        <f t="shared" si="12"/>
        <v>2.9010080942099608</v>
      </c>
    </row>
    <row r="32" spans="1:23" s="56" customFormat="1" ht="18.75" customHeight="1">
      <c r="A32" s="52">
        <v>25</v>
      </c>
      <c r="B32" s="53" t="s">
        <v>37</v>
      </c>
      <c r="C32" s="54">
        <v>3408.38</v>
      </c>
      <c r="D32" s="54">
        <v>6973.32</v>
      </c>
      <c r="E32" s="54">
        <v>10298.790000000001</v>
      </c>
      <c r="F32" s="54">
        <v>4126.0600000000004</v>
      </c>
      <c r="G32" s="54">
        <v>3625.86</v>
      </c>
      <c r="H32" s="54">
        <v>8534.51</v>
      </c>
      <c r="I32" s="54">
        <v>13019.85</v>
      </c>
      <c r="J32" s="62">
        <f ca="1">+'Revenue Deficit (%GSDP)'!J32</f>
        <v>194822</v>
      </c>
      <c r="K32" s="62">
        <f ca="1">+'Revenue Deficit (%GSDP)'!K32</f>
        <v>230949</v>
      </c>
      <c r="L32" s="62">
        <f ca="1">+'Revenue Deficit (%GSDP)'!L32</f>
        <v>265825</v>
      </c>
      <c r="M32" s="62">
        <f ca="1">+'Revenue Deficit (%GSDP)'!M32</f>
        <v>338348</v>
      </c>
      <c r="N32" s="62">
        <f ca="1">+'Revenue Deficit (%GSDP)'!N32</f>
        <v>403422</v>
      </c>
      <c r="O32" s="62">
        <f ca="1">+'Revenue Deficit (%GSDP)'!O32</f>
        <v>459215</v>
      </c>
      <c r="P32" s="62">
        <f ca="1">+'Revenue Deficit (%GSDP)'!P32</f>
        <v>513688</v>
      </c>
      <c r="Q32" s="138">
        <f t="shared" si="7"/>
        <v>1.7494841445011344</v>
      </c>
      <c r="R32" s="138">
        <f t="shared" si="8"/>
        <v>3.0194198719197747</v>
      </c>
      <c r="S32" s="138">
        <f t="shared" si="9"/>
        <v>3.8742744286654758</v>
      </c>
      <c r="T32" s="138">
        <f t="shared" si="10"/>
        <v>1.2194722593306302</v>
      </c>
      <c r="U32" s="138">
        <f t="shared" si="11"/>
        <v>0.89877597156327627</v>
      </c>
      <c r="V32" s="138">
        <f t="shared" si="12"/>
        <v>1.858499831233736</v>
      </c>
      <c r="W32" s="138">
        <f t="shared" si="12"/>
        <v>2.5345832489760323</v>
      </c>
    </row>
    <row r="33" spans="1:23" s="56" customFormat="1" ht="18.75" customHeight="1">
      <c r="A33" s="52">
        <v>26</v>
      </c>
      <c r="B33" s="53" t="s">
        <v>38</v>
      </c>
      <c r="C33" s="54">
        <v>3685.58</v>
      </c>
      <c r="D33" s="54">
        <v>8547.76</v>
      </c>
      <c r="E33" s="54">
        <v>11807.25</v>
      </c>
      <c r="F33" s="54">
        <v>16646.62</v>
      </c>
      <c r="G33" s="54">
        <v>17274.07</v>
      </c>
      <c r="H33" s="54">
        <v>19832.12</v>
      </c>
      <c r="I33" s="54">
        <v>14152</v>
      </c>
      <c r="J33" s="62">
        <f ca="1">+'Revenue Deficit (%GSDP)'!J33</f>
        <v>350819</v>
      </c>
      <c r="K33" s="62">
        <f ca="1">+'Revenue Deficit (%GSDP)'!K33</f>
        <v>401336</v>
      </c>
      <c r="L33" s="62">
        <f ca="1">+'Revenue Deficit (%GSDP)'!L33</f>
        <v>479733</v>
      </c>
      <c r="M33" s="62">
        <f ca="1">+'Revenue Deficit (%GSDP)'!M33</f>
        <v>584896</v>
      </c>
      <c r="N33" s="62">
        <f ca="1">+'Revenue Deficit (%GSDP)'!N33</f>
        <v>665312</v>
      </c>
      <c r="O33" s="62">
        <f ca="1">+'Revenue Deficit (%GSDP)'!O33</f>
        <v>744474</v>
      </c>
      <c r="P33" s="62">
        <f ca="1">+'Revenue Deficit (%GSDP)'!P33</f>
        <v>850319</v>
      </c>
      <c r="Q33" s="138">
        <f t="shared" si="7"/>
        <v>1.0505645361283169</v>
      </c>
      <c r="R33" s="138">
        <f t="shared" si="8"/>
        <v>2.1298263798911634</v>
      </c>
      <c r="S33" s="138">
        <f t="shared" si="9"/>
        <v>2.4612127996197888</v>
      </c>
      <c r="T33" s="138">
        <f t="shared" si="10"/>
        <v>2.8460820385162489</v>
      </c>
      <c r="U33" s="138">
        <f t="shared" si="11"/>
        <v>2.5963863570775816</v>
      </c>
      <c r="V33" s="138">
        <f t="shared" si="12"/>
        <v>2.6639103581857793</v>
      </c>
      <c r="W33" s="138">
        <f t="shared" si="12"/>
        <v>1.6643165682526204</v>
      </c>
    </row>
    <row r="34" spans="1:23" s="56" customFormat="1" ht="18.75" customHeight="1">
      <c r="A34" s="52">
        <v>27</v>
      </c>
      <c r="B34" s="53" t="s">
        <v>39</v>
      </c>
      <c r="C34" s="54">
        <v>13794.47</v>
      </c>
      <c r="D34" s="54">
        <v>20512.8</v>
      </c>
      <c r="E34" s="54">
        <v>18692.7</v>
      </c>
      <c r="F34" s="54">
        <v>17247.7</v>
      </c>
      <c r="G34" s="54">
        <v>15431.83</v>
      </c>
      <c r="H34" s="54">
        <v>21210.32</v>
      </c>
      <c r="I34" s="54">
        <v>23913.29</v>
      </c>
      <c r="J34" s="62">
        <f ca="1">+'Revenue Deficit (%GSDP)'!J34</f>
        <v>383026</v>
      </c>
      <c r="K34" s="62">
        <f ca="1">+'Revenue Deficit (%GSDP)'!K34</f>
        <v>444685</v>
      </c>
      <c r="L34" s="62">
        <f ca="1">+'Revenue Deficit (%GSDP)'!L34</f>
        <v>523394</v>
      </c>
      <c r="M34" s="62">
        <f ca="1">+'Revenue Deficit (%GSDP)'!M34</f>
        <v>600164</v>
      </c>
      <c r="N34" s="62">
        <f ca="1">+'Revenue Deficit (%GSDP)'!N34</f>
        <v>679007</v>
      </c>
      <c r="O34" s="62">
        <f ca="1">+'Revenue Deficit (%GSDP)'!O34</f>
        <v>768930</v>
      </c>
      <c r="P34" s="62">
        <f ca="1">+'Revenue Deficit (%GSDP)'!P34</f>
        <v>886410</v>
      </c>
      <c r="Q34" s="138">
        <f t="shared" si="7"/>
        <v>3.6014448105350554</v>
      </c>
      <c r="R34" s="138">
        <f t="shared" si="8"/>
        <v>4.6128832769263637</v>
      </c>
      <c r="S34" s="138">
        <f t="shared" si="9"/>
        <v>3.5714394891802352</v>
      </c>
      <c r="T34" s="138">
        <f t="shared" si="10"/>
        <v>2.8738311528182301</v>
      </c>
      <c r="U34" s="138">
        <f t="shared" si="11"/>
        <v>2.2727055833003194</v>
      </c>
      <c r="V34" s="138">
        <f t="shared" si="12"/>
        <v>2.7584201422756296</v>
      </c>
      <c r="W34" s="138">
        <f t="shared" si="12"/>
        <v>2.6977685269796146</v>
      </c>
    </row>
    <row r="35" spans="1:23" s="56" customFormat="1" ht="18.75" customHeight="1">
      <c r="A35" s="52">
        <v>28</v>
      </c>
      <c r="B35" s="53" t="s">
        <v>40</v>
      </c>
      <c r="C35" s="54">
        <v>11400.26</v>
      </c>
      <c r="D35" s="54">
        <v>13558.04</v>
      </c>
      <c r="E35" s="54">
        <v>24954.63</v>
      </c>
      <c r="F35" s="54">
        <v>19534.97</v>
      </c>
      <c r="G35" s="54">
        <v>17704.87</v>
      </c>
      <c r="H35" s="54">
        <v>19146.63</v>
      </c>
      <c r="I35" s="54">
        <v>13414.27</v>
      </c>
      <c r="J35" s="62">
        <f ca="1">+'Revenue Deficit (%GSDP)'!J35</f>
        <v>299483</v>
      </c>
      <c r="K35" s="62">
        <f ca="1">+'Revenue Deficit (%GSDP)'!K35</f>
        <v>341942</v>
      </c>
      <c r="L35" s="62">
        <f ca="1">+'Revenue Deficit (%GSDP)'!L35</f>
        <v>398880</v>
      </c>
      <c r="M35" s="62">
        <f ca="1">+'Revenue Deficit (%GSDP)'!M35</f>
        <v>460959</v>
      </c>
      <c r="N35" s="62">
        <f ca="1">+'Revenue Deficit (%GSDP)'!N35</f>
        <v>538209</v>
      </c>
      <c r="O35" s="62">
        <f ca="1">+'Revenue Deficit (%GSDP)'!O35</f>
        <v>620160</v>
      </c>
      <c r="P35" s="62">
        <f ca="1">+'Revenue Deficit (%GSDP)'!P35</f>
        <v>707848</v>
      </c>
      <c r="Q35" s="138">
        <f t="shared" si="7"/>
        <v>3.8066467879645924</v>
      </c>
      <c r="R35" s="138">
        <f t="shared" si="8"/>
        <v>3.9650116101561084</v>
      </c>
      <c r="S35" s="138">
        <f t="shared" si="9"/>
        <v>6.2561747894103483</v>
      </c>
      <c r="T35" s="138">
        <f t="shared" si="10"/>
        <v>4.2378975136617356</v>
      </c>
      <c r="U35" s="138">
        <f t="shared" si="11"/>
        <v>3.2895901034728143</v>
      </c>
      <c r="V35" s="138">
        <f t="shared" si="12"/>
        <v>3.0873693885448921</v>
      </c>
      <c r="W35" s="138">
        <f t="shared" si="12"/>
        <v>1.8950777568065462</v>
      </c>
    </row>
    <row r="36" spans="1:23" s="59" customFormat="1" ht="18.75" customHeight="1">
      <c r="A36" s="47"/>
      <c r="B36" s="50" t="s">
        <v>190</v>
      </c>
      <c r="C36" s="57">
        <f t="shared" ref="C36:O36" si="13">SUM(C19:C35)</f>
        <v>65021.97</v>
      </c>
      <c r="D36" s="57">
        <f t="shared" si="13"/>
        <v>125891.94</v>
      </c>
      <c r="E36" s="57">
        <f t="shared" si="13"/>
        <v>175955.83000000002</v>
      </c>
      <c r="F36" s="57">
        <f t="shared" si="13"/>
        <v>148277.40999999997</v>
      </c>
      <c r="G36" s="57">
        <f t="shared" si="13"/>
        <v>159189.43999999997</v>
      </c>
      <c r="H36" s="57">
        <f t="shared" si="13"/>
        <v>196043.91000000003</v>
      </c>
      <c r="I36" s="57">
        <f t="shared" si="13"/>
        <v>240587.28999999995</v>
      </c>
      <c r="J36" s="58">
        <f t="shared" si="13"/>
        <v>3944879</v>
      </c>
      <c r="K36" s="58">
        <f t="shared" si="13"/>
        <v>4535440</v>
      </c>
      <c r="L36" s="58">
        <f t="shared" si="13"/>
        <v>5204876</v>
      </c>
      <c r="M36" s="58">
        <f t="shared" si="13"/>
        <v>6231556</v>
      </c>
      <c r="N36" s="58">
        <f t="shared" si="13"/>
        <v>7154201</v>
      </c>
      <c r="O36" s="58">
        <f t="shared" si="13"/>
        <v>8190822</v>
      </c>
      <c r="P36" s="58">
        <f ca="1">SUM(P19:P35)</f>
        <v>9397731.1855269298</v>
      </c>
      <c r="Q36" s="139">
        <f t="shared" si="7"/>
        <v>1.6482627223800779</v>
      </c>
      <c r="R36" s="139">
        <f t="shared" si="8"/>
        <v>2.7757381863722155</v>
      </c>
      <c r="S36" s="139">
        <f>+E36/L36*100</f>
        <v>3.380596002671342</v>
      </c>
      <c r="T36" s="139">
        <f>+F36/M36*100</f>
        <v>2.3794604429455495</v>
      </c>
      <c r="U36" s="139">
        <f>+G36/N36*100</f>
        <v>2.2251183605269125</v>
      </c>
      <c r="V36" s="139">
        <f>+H36/O36*100</f>
        <v>2.3934583122426543</v>
      </c>
      <c r="W36" s="139">
        <f>+I36/P36*100</f>
        <v>2.5600571590142822</v>
      </c>
    </row>
    <row r="37" spans="1:23" s="56" customFormat="1" ht="18.75" customHeight="1">
      <c r="A37" s="52"/>
      <c r="B37" s="50" t="s">
        <v>42</v>
      </c>
      <c r="C37" s="57"/>
      <c r="D37" s="57"/>
      <c r="E37" s="57"/>
      <c r="F37" s="57"/>
      <c r="G37" s="57"/>
      <c r="H37" s="57"/>
      <c r="I37" s="57"/>
      <c r="J37" s="58"/>
      <c r="K37" s="58"/>
      <c r="L37" s="58"/>
      <c r="M37" s="58"/>
      <c r="N37" s="58"/>
      <c r="O37" s="58"/>
      <c r="P37" s="58"/>
      <c r="Q37" s="138"/>
      <c r="R37" s="138"/>
      <c r="S37" s="138"/>
      <c r="T37" s="138"/>
      <c r="U37" s="138"/>
      <c r="V37" s="138"/>
      <c r="W37" s="138"/>
    </row>
    <row r="38" spans="1:23" s="56" customFormat="1" ht="18.75" customHeight="1">
      <c r="A38" s="52">
        <v>29</v>
      </c>
      <c r="B38" s="53" t="s">
        <v>43</v>
      </c>
      <c r="C38" s="54">
        <v>2040.88</v>
      </c>
      <c r="D38" s="54">
        <v>2824.07</v>
      </c>
      <c r="E38" s="54">
        <v>3549.96</v>
      </c>
      <c r="F38" s="54">
        <v>729.6</v>
      </c>
      <c r="G38" s="54">
        <v>2545.12</v>
      </c>
      <c r="H38" s="54">
        <v>2284.9499999999998</v>
      </c>
      <c r="I38" s="54">
        <v>1268.28</v>
      </c>
      <c r="J38" s="62">
        <f ca="1">+'Revenue Deficit (%GSDP)'!J38</f>
        <v>157947</v>
      </c>
      <c r="K38" s="62">
        <f ca="1">+'Revenue Deficit (%GSDP)'!K38</f>
        <v>189533</v>
      </c>
      <c r="L38" s="62">
        <f ca="1">+'Revenue Deficit (%GSDP)'!L38</f>
        <v>217619</v>
      </c>
      <c r="M38" s="62">
        <f ca="1">+'Revenue Deficit (%GSDP)'!M38</f>
        <v>252753</v>
      </c>
      <c r="N38" s="62">
        <f ca="1">+'Revenue Deficit (%GSDP)'!N38</f>
        <v>296957</v>
      </c>
      <c r="O38" s="62">
        <f ca="1">+'Revenue Deficit (%GSDP)'!O38</f>
        <v>348221</v>
      </c>
      <c r="P38" s="62">
        <f ca="1">+'Revenue Deficit (%GSDP)'!P38</f>
        <v>404576</v>
      </c>
      <c r="Q38" s="138">
        <f t="shared" ref="Q38:S40" si="14">+C38/J38*100</f>
        <v>1.2921296384230154</v>
      </c>
      <c r="R38" s="138">
        <f t="shared" si="14"/>
        <v>1.4900149314367419</v>
      </c>
      <c r="S38" s="138">
        <f t="shared" si="14"/>
        <v>1.6312730046549244</v>
      </c>
      <c r="T38" s="138">
        <f t="shared" ref="T38:W40" si="15">+F38/M38*100</f>
        <v>0.28866126218086435</v>
      </c>
      <c r="U38" s="138">
        <f t="shared" si="15"/>
        <v>0.85706684806217737</v>
      </c>
      <c r="V38" s="138">
        <f t="shared" si="15"/>
        <v>0.6561781167706715</v>
      </c>
      <c r="W38" s="138">
        <f t="shared" si="15"/>
        <v>0.31348374594637352</v>
      </c>
    </row>
    <row r="39" spans="1:23" s="56" customFormat="1" ht="18.75" customHeight="1">
      <c r="A39" s="52">
        <v>30</v>
      </c>
      <c r="B39" s="53" t="s">
        <v>44</v>
      </c>
      <c r="C39" s="54">
        <v>359</v>
      </c>
      <c r="D39" s="54">
        <v>370</v>
      </c>
      <c r="E39" s="54">
        <v>575</v>
      </c>
      <c r="F39" s="54">
        <v>709</v>
      </c>
      <c r="G39" s="54">
        <v>824</v>
      </c>
      <c r="H39" s="54">
        <v>191.57</v>
      </c>
      <c r="I39" s="54">
        <v>576.79999999999995</v>
      </c>
      <c r="J39" s="62">
        <f ca="1">+'Revenue Deficit (%GSDP)'!J39</f>
        <v>9251</v>
      </c>
      <c r="K39" s="62">
        <f ca="1">+'Revenue Deficit (%GSDP)'!K39</f>
        <v>10050</v>
      </c>
      <c r="L39" s="62">
        <f ca="1">+'Revenue Deficit (%GSDP)'!L39</f>
        <v>12304</v>
      </c>
      <c r="M39" s="62">
        <f ca="1">+'Revenue Deficit (%GSDP)'!M39</f>
        <v>13092</v>
      </c>
      <c r="N39" s="62">
        <f ca="1">+'Revenue Deficit (%GSDP)'!N39</f>
        <v>14630</v>
      </c>
      <c r="O39" s="62">
        <f ca="1">+'Revenue Deficit (%GSDP)'!O39</f>
        <v>17192</v>
      </c>
      <c r="P39" s="62">
        <f ca="1">+'Revenue Deficit (%GSDP)'!P39</f>
        <v>21500</v>
      </c>
      <c r="Q39" s="138">
        <f t="shared" si="14"/>
        <v>3.8806615501026918</v>
      </c>
      <c r="R39" s="138">
        <f t="shared" si="14"/>
        <v>3.6815920398009951</v>
      </c>
      <c r="S39" s="138">
        <f t="shared" si="14"/>
        <v>4.6732769830949286</v>
      </c>
      <c r="T39" s="138">
        <f t="shared" si="15"/>
        <v>5.4155209288114881</v>
      </c>
      <c r="U39" s="138">
        <f t="shared" si="15"/>
        <v>5.6322624743677379</v>
      </c>
      <c r="V39" s="138">
        <f t="shared" si="15"/>
        <v>1.1142973476035365</v>
      </c>
      <c r="W39" s="138">
        <f t="shared" si="15"/>
        <v>2.6827906976744185</v>
      </c>
    </row>
    <row r="40" spans="1:23" s="59" customFormat="1" ht="18.75" customHeight="1">
      <c r="A40" s="47"/>
      <c r="B40" s="50" t="s">
        <v>55</v>
      </c>
      <c r="C40" s="57">
        <f t="shared" ref="C40:L40" si="16">SUM(C38:C39)</f>
        <v>2399.88</v>
      </c>
      <c r="D40" s="57">
        <f t="shared" si="16"/>
        <v>3194.07</v>
      </c>
      <c r="E40" s="57">
        <f>SUM(E38:E39)</f>
        <v>4124.96</v>
      </c>
      <c r="F40" s="57">
        <f>SUM(F38:F39)</f>
        <v>1438.6</v>
      </c>
      <c r="G40" s="57">
        <f>SUM(G38:G39)</f>
        <v>3369.12</v>
      </c>
      <c r="H40" s="57">
        <f>SUM(H38:H39)</f>
        <v>2476.52</v>
      </c>
      <c r="I40" s="57">
        <f>SUM(I38:I39)</f>
        <v>1845.08</v>
      </c>
      <c r="J40" s="58">
        <f t="shared" si="16"/>
        <v>167198</v>
      </c>
      <c r="K40" s="58">
        <f t="shared" si="16"/>
        <v>199583</v>
      </c>
      <c r="L40" s="58">
        <f t="shared" si="16"/>
        <v>229923</v>
      </c>
      <c r="M40" s="58">
        <f>SUM(M38:M39)</f>
        <v>265845</v>
      </c>
      <c r="N40" s="58">
        <f>SUM(N38:N39)</f>
        <v>311587</v>
      </c>
      <c r="O40" s="58">
        <f>SUM(O38:O39)</f>
        <v>365413</v>
      </c>
      <c r="P40" s="58">
        <f>SUM(P38:P39)</f>
        <v>426076</v>
      </c>
      <c r="Q40" s="139">
        <f t="shared" si="14"/>
        <v>1.4353520975131282</v>
      </c>
      <c r="R40" s="139">
        <f t="shared" si="14"/>
        <v>1.6003717751511901</v>
      </c>
      <c r="S40" s="139">
        <f t="shared" si="14"/>
        <v>1.7940614901510505</v>
      </c>
      <c r="T40" s="139">
        <f t="shared" si="15"/>
        <v>0.54114239500460792</v>
      </c>
      <c r="U40" s="139">
        <f t="shared" si="15"/>
        <v>1.0812774602278015</v>
      </c>
      <c r="V40" s="139">
        <f t="shared" si="15"/>
        <v>0.67773177199497558</v>
      </c>
      <c r="W40" s="139">
        <f t="shared" si="15"/>
        <v>0.43304011490907723</v>
      </c>
    </row>
    <row r="41" spans="1:23" s="56" customFormat="1" ht="5.25" customHeight="1">
      <c r="A41" s="52"/>
      <c r="B41" s="53"/>
      <c r="C41" s="54"/>
      <c r="D41" s="54"/>
      <c r="E41" s="54"/>
      <c r="F41" s="54"/>
      <c r="G41" s="54"/>
      <c r="H41" s="54"/>
      <c r="I41" s="54"/>
      <c r="J41" s="60"/>
      <c r="K41" s="60"/>
      <c r="L41" s="60"/>
      <c r="M41" s="60"/>
      <c r="N41" s="60"/>
      <c r="O41" s="60"/>
      <c r="P41" s="60"/>
      <c r="Q41" s="138"/>
      <c r="R41" s="138"/>
      <c r="S41" s="139"/>
      <c r="T41" s="139"/>
      <c r="U41" s="139"/>
      <c r="V41" s="139"/>
      <c r="W41" s="139"/>
    </row>
    <row r="42" spans="1:23" s="59" customFormat="1" ht="12.75">
      <c r="A42" s="47"/>
      <c r="B42" s="50" t="s">
        <v>46</v>
      </c>
      <c r="C42" s="57">
        <f t="shared" ref="C42:L42" si="17">+C17+C36+C40</f>
        <v>78750.41</v>
      </c>
      <c r="D42" s="57">
        <f t="shared" si="17"/>
        <v>136549.32</v>
      </c>
      <c r="E42" s="57">
        <f>+E17+E36+E40</f>
        <v>194687.54</v>
      </c>
      <c r="F42" s="57">
        <f>+F17+F36+F40</f>
        <v>162024.18</v>
      </c>
      <c r="G42" s="57">
        <f>+G17+G36+G40</f>
        <v>173690.74999999997</v>
      </c>
      <c r="H42" s="57">
        <f>+H17+H36+H40</f>
        <v>209984.08000000002</v>
      </c>
      <c r="I42" s="57">
        <f>+I17+I36+I40</f>
        <v>259970.26999999993</v>
      </c>
      <c r="J42" s="58">
        <f t="shared" si="17"/>
        <v>4347593</v>
      </c>
      <c r="K42" s="58">
        <f t="shared" si="17"/>
        <v>5011438</v>
      </c>
      <c r="L42" s="58">
        <f t="shared" si="17"/>
        <v>5763838</v>
      </c>
      <c r="M42" s="58">
        <f>+M17+M36+M40</f>
        <v>6885743</v>
      </c>
      <c r="N42" s="58">
        <f>+N17+N36+N40</f>
        <v>7907554</v>
      </c>
      <c r="O42" s="58">
        <f>+O17+O36+O40</f>
        <v>9060004</v>
      </c>
      <c r="P42" s="58">
        <f>+P17+P36+P40</f>
        <v>10403785.896576375</v>
      </c>
      <c r="Q42" s="139">
        <f t="shared" ref="Q42:W42" si="18">+C42/J42*100</f>
        <v>1.8113565368239393</v>
      </c>
      <c r="R42" s="139">
        <f t="shared" si="18"/>
        <v>2.7247532544551087</v>
      </c>
      <c r="S42" s="139">
        <f t="shared" si="18"/>
        <v>3.3777413591429877</v>
      </c>
      <c r="T42" s="139">
        <f t="shared" si="18"/>
        <v>2.3530384447981865</v>
      </c>
      <c r="U42" s="139">
        <f t="shared" si="18"/>
        <v>2.1965167737077733</v>
      </c>
      <c r="V42" s="139">
        <f t="shared" si="18"/>
        <v>2.3177040539937956</v>
      </c>
      <c r="W42" s="139">
        <f t="shared" si="18"/>
        <v>2.4988044985196174</v>
      </c>
    </row>
    <row r="43" spans="1:23" s="14" customFormat="1" ht="12.75">
      <c r="A43" s="22"/>
      <c r="B43" s="582" t="s">
        <v>187</v>
      </c>
      <c r="C43" s="582"/>
      <c r="D43" s="582"/>
      <c r="E43" s="582"/>
      <c r="F43" s="582"/>
      <c r="G43" s="582"/>
      <c r="H43" s="582"/>
      <c r="I43" s="582"/>
      <c r="J43" s="582"/>
      <c r="K43" s="23"/>
      <c r="L43" s="23"/>
      <c r="M43" s="23"/>
      <c r="N43" s="23"/>
      <c r="O43" s="23"/>
      <c r="P43" s="23"/>
      <c r="Q43" s="23"/>
      <c r="R43" s="23"/>
    </row>
  </sheetData>
  <mergeCells count="7">
    <mergeCell ref="B43:J43"/>
    <mergeCell ref="B1:V1"/>
    <mergeCell ref="A2:A4"/>
    <mergeCell ref="B2:B3"/>
    <mergeCell ref="C2:I2"/>
    <mergeCell ref="J2:P2"/>
    <mergeCell ref="Q2:W2"/>
  </mergeCells>
  <phoneticPr fontId="42" type="noConversion"/>
  <printOptions horizontalCentered="1"/>
  <pageMargins left="0.35433070866141736" right="0.15748031496062992" top="0.78740157480314965" bottom="0.39370078740157483" header="0" footer="0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0"/>
    <pageSetUpPr fitToPage="1"/>
  </sheetPr>
  <dimension ref="A1:X122"/>
  <sheetViews>
    <sheetView view="pageBreakPreview" zoomScale="85" zoomScaleNormal="100" zoomScaleSheetLayoutView="85" workbookViewId="0">
      <pane xSplit="2" ySplit="6" topLeftCell="C7" activePane="bottomRight" state="frozen"/>
      <selection activeCell="J4" sqref="J4:P5"/>
      <selection pane="topRight" activeCell="J4" sqref="J4:P5"/>
      <selection pane="bottomLeft" activeCell="J4" sqref="J4:P5"/>
      <selection pane="bottomRight" activeCell="A2" sqref="A2"/>
    </sheetView>
  </sheetViews>
  <sheetFormatPr defaultRowHeight="14.25"/>
  <cols>
    <col min="1" max="1" width="6.140625" style="258" customWidth="1"/>
    <col min="2" max="2" width="38.5703125" style="304" customWidth="1"/>
    <col min="3" max="3" width="14.28515625" style="258" customWidth="1"/>
    <col min="4" max="4" width="14.140625" style="258" customWidth="1"/>
    <col min="5" max="5" width="13.42578125" style="258" customWidth="1"/>
    <col min="6" max="6" width="14" style="258" customWidth="1"/>
    <col min="7" max="9" width="13.140625" style="258" customWidth="1"/>
    <col min="10" max="10" width="14.140625" style="258" customWidth="1"/>
    <col min="11" max="11" width="14.5703125" style="258" customWidth="1"/>
    <col min="12" max="12" width="15.28515625" style="258" customWidth="1"/>
    <col min="13" max="14" width="12.140625" style="258" customWidth="1"/>
    <col min="15" max="16" width="13" style="258" customWidth="1"/>
    <col min="17" max="17" width="12.5703125" style="258" customWidth="1"/>
    <col min="18" max="19" width="12.28515625" style="258" customWidth="1"/>
    <col min="20" max="20" width="13.7109375" style="258" customWidth="1"/>
    <col min="21" max="21" width="12.5703125" style="258" customWidth="1"/>
    <col min="22" max="22" width="11.7109375" style="258" customWidth="1"/>
    <col min="23" max="23" width="11.7109375" style="258" hidden="1" customWidth="1"/>
    <col min="24" max="24" width="12.85546875" style="258" customWidth="1"/>
    <col min="25" max="16384" width="9.140625" style="258"/>
  </cols>
  <sheetData>
    <row r="1" spans="1:24" ht="24" customHeight="1">
      <c r="A1" s="505" t="s">
        <v>313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257"/>
    </row>
    <row r="2" spans="1:24" ht="26.25" customHeight="1">
      <c r="A2" s="259"/>
      <c r="B2" s="260">
        <v>41834</v>
      </c>
      <c r="C2" s="261"/>
      <c r="D2" s="261"/>
      <c r="E2" s="261"/>
      <c r="F2" s="259"/>
      <c r="G2" s="262"/>
      <c r="H2" s="262"/>
      <c r="I2" s="262"/>
      <c r="O2" s="305"/>
      <c r="P2" s="306"/>
      <c r="V2" s="512" t="s">
        <v>195</v>
      </c>
      <c r="W2" s="512"/>
      <c r="X2" s="512"/>
    </row>
    <row r="3" spans="1:24" s="265" customFormat="1" ht="17.25" customHeight="1">
      <c r="A3" s="514" t="s">
        <v>71</v>
      </c>
      <c r="B3" s="515" t="s">
        <v>196</v>
      </c>
      <c r="C3" s="263" t="s">
        <v>48</v>
      </c>
      <c r="D3" s="263" t="s">
        <v>49</v>
      </c>
      <c r="E3" s="263" t="s">
        <v>5</v>
      </c>
      <c r="F3" s="263" t="s">
        <v>6</v>
      </c>
      <c r="G3" s="263" t="s">
        <v>7</v>
      </c>
      <c r="H3" s="263" t="s">
        <v>122</v>
      </c>
      <c r="I3" s="263" t="s">
        <v>139</v>
      </c>
      <c r="J3" s="264" t="s">
        <v>48</v>
      </c>
      <c r="K3" s="264" t="s">
        <v>49</v>
      </c>
      <c r="L3" s="264" t="s">
        <v>5</v>
      </c>
      <c r="M3" s="264" t="s">
        <v>6</v>
      </c>
      <c r="N3" s="264" t="s">
        <v>7</v>
      </c>
      <c r="O3" s="264" t="s">
        <v>122</v>
      </c>
      <c r="P3" s="264" t="s">
        <v>139</v>
      </c>
      <c r="Q3" s="263" t="s">
        <v>48</v>
      </c>
      <c r="R3" s="263" t="s">
        <v>49</v>
      </c>
      <c r="S3" s="263" t="s">
        <v>5</v>
      </c>
      <c r="T3" s="263" t="s">
        <v>6</v>
      </c>
      <c r="U3" s="263" t="s">
        <v>7</v>
      </c>
      <c r="V3" s="263" t="s">
        <v>122</v>
      </c>
      <c r="W3" s="263" t="s">
        <v>122</v>
      </c>
      <c r="X3" s="263" t="s">
        <v>139</v>
      </c>
    </row>
    <row r="4" spans="1:24" s="309" customFormat="1" ht="36.75" customHeight="1">
      <c r="A4" s="514"/>
      <c r="B4" s="515"/>
      <c r="C4" s="266" t="s">
        <v>197</v>
      </c>
      <c r="D4" s="266" t="s">
        <v>197</v>
      </c>
      <c r="E4" s="266" t="s">
        <v>197</v>
      </c>
      <c r="F4" s="266" t="s">
        <v>197</v>
      </c>
      <c r="G4" s="266" t="s">
        <v>197</v>
      </c>
      <c r="H4" s="308" t="s">
        <v>198</v>
      </c>
      <c r="I4" s="308" t="s">
        <v>199</v>
      </c>
      <c r="J4" s="516" t="s">
        <v>217</v>
      </c>
      <c r="K4" s="517"/>
      <c r="L4" s="517"/>
      <c r="M4" s="517"/>
      <c r="N4" s="517"/>
      <c r="O4" s="517"/>
      <c r="P4" s="518"/>
      <c r="Q4" s="266" t="s">
        <v>197</v>
      </c>
      <c r="R4" s="266" t="s">
        <v>197</v>
      </c>
      <c r="S4" s="266" t="s">
        <v>197</v>
      </c>
      <c r="T4" s="266" t="s">
        <v>197</v>
      </c>
      <c r="U4" s="266" t="s">
        <v>197</v>
      </c>
      <c r="V4" s="266" t="s">
        <v>198</v>
      </c>
      <c r="W4" s="266" t="s">
        <v>198</v>
      </c>
      <c r="X4" s="266" t="s">
        <v>199</v>
      </c>
    </row>
    <row r="5" spans="1:24" ht="22.5" customHeight="1">
      <c r="A5" s="514"/>
      <c r="B5" s="515"/>
      <c r="C5" s="507" t="s">
        <v>218</v>
      </c>
      <c r="D5" s="508"/>
      <c r="E5" s="508"/>
      <c r="F5" s="508"/>
      <c r="G5" s="508"/>
      <c r="H5" s="508"/>
      <c r="I5" s="509"/>
      <c r="J5" s="519" t="s">
        <v>219</v>
      </c>
      <c r="K5" s="520"/>
      <c r="L5" s="520"/>
      <c r="M5" s="520"/>
      <c r="N5" s="520"/>
      <c r="O5" s="520"/>
      <c r="P5" s="521"/>
      <c r="Q5" s="513" t="s">
        <v>220</v>
      </c>
      <c r="R5" s="513"/>
      <c r="S5" s="513"/>
      <c r="T5" s="513"/>
      <c r="U5" s="513"/>
      <c r="V5" s="513"/>
      <c r="W5" s="513"/>
      <c r="X5" s="513"/>
    </row>
    <row r="6" spans="1:24" ht="22.5" customHeight="1">
      <c r="A6" s="307"/>
      <c r="B6" s="310" t="s">
        <v>11</v>
      </c>
      <c r="C6" s="311"/>
      <c r="D6" s="312"/>
      <c r="E6" s="312"/>
      <c r="F6" s="312"/>
      <c r="G6" s="312"/>
      <c r="H6" s="312"/>
      <c r="I6" s="312"/>
      <c r="J6" s="313"/>
      <c r="K6" s="313"/>
      <c r="L6" s="313"/>
      <c r="M6" s="313"/>
      <c r="N6" s="313"/>
      <c r="O6" s="313"/>
      <c r="P6" s="313"/>
      <c r="Q6" s="314"/>
      <c r="R6" s="314"/>
      <c r="S6" s="314"/>
      <c r="T6" s="314"/>
      <c r="U6" s="314"/>
      <c r="V6" s="314"/>
      <c r="W6" s="314"/>
      <c r="X6" s="314"/>
    </row>
    <row r="7" spans="1:24" ht="19.5" customHeight="1">
      <c r="A7" s="315">
        <v>1</v>
      </c>
      <c r="B7" s="316" t="s">
        <v>12</v>
      </c>
      <c r="C7" s="317">
        <v>1082.9847</v>
      </c>
      <c r="D7" s="317">
        <v>1739.2817000000002</v>
      </c>
      <c r="E7" s="317">
        <v>2016.01</v>
      </c>
      <c r="F7" s="317">
        <v>2555.12</v>
      </c>
      <c r="G7" s="317">
        <v>2942.6023</v>
      </c>
      <c r="H7" s="317">
        <v>3535</v>
      </c>
      <c r="I7" s="317">
        <v>3700</v>
      </c>
      <c r="J7" s="318">
        <v>4810</v>
      </c>
      <c r="K7" s="318">
        <v>5687</v>
      </c>
      <c r="L7" s="318">
        <v>7473</v>
      </c>
      <c r="M7" s="318">
        <v>8732</v>
      </c>
      <c r="N7" s="318">
        <v>11136</v>
      </c>
      <c r="O7" s="318">
        <v>12702</v>
      </c>
      <c r="P7" s="319">
        <v>13382</v>
      </c>
      <c r="Q7" s="320">
        <f t="shared" ref="Q7:Q18" si="0">+C7/J7*100</f>
        <v>22.515274428274427</v>
      </c>
      <c r="R7" s="320">
        <f t="shared" ref="R7:R18" si="1">+D7/K7*100</f>
        <v>30.583465799191139</v>
      </c>
      <c r="S7" s="320">
        <f t="shared" ref="S7:S18" si="2">+E7/L7*100</f>
        <v>26.977251438511978</v>
      </c>
      <c r="T7" s="320">
        <f t="shared" ref="T7:T18" si="3">+F7/M7*100</f>
        <v>29.261566651397157</v>
      </c>
      <c r="U7" s="320">
        <f t="shared" ref="U7:U18" si="4">+G7/N7*100</f>
        <v>26.424230423850574</v>
      </c>
      <c r="V7" s="320">
        <f t="shared" ref="V7:V18" si="5">+H7/O7*100</f>
        <v>27.830262950716424</v>
      </c>
      <c r="W7" s="320">
        <f t="shared" ref="W7:W18" si="6">+I7/P7*100</f>
        <v>27.649080854879688</v>
      </c>
      <c r="X7" s="320">
        <f t="shared" ref="X7:X18" si="7">+I7/P7*100</f>
        <v>27.649080854879688</v>
      </c>
    </row>
    <row r="8" spans="1:24" ht="20.100000000000001" customHeight="1">
      <c r="A8" s="315">
        <v>2</v>
      </c>
      <c r="B8" s="316" t="s">
        <v>13</v>
      </c>
      <c r="C8" s="317">
        <v>2669.2779999999998</v>
      </c>
      <c r="D8" s="317">
        <v>3593.7552000000001</v>
      </c>
      <c r="E8" s="317">
        <v>5023.0895</v>
      </c>
      <c r="F8" s="317">
        <v>6883.09</v>
      </c>
      <c r="G8" s="317">
        <v>6408.8506000000007</v>
      </c>
      <c r="H8" s="317">
        <v>10500</v>
      </c>
      <c r="I8" s="317">
        <v>12500</v>
      </c>
      <c r="J8" s="318">
        <v>71076</v>
      </c>
      <c r="K8" s="318">
        <v>81074</v>
      </c>
      <c r="L8" s="318">
        <v>95975</v>
      </c>
      <c r="M8" s="318">
        <v>112466</v>
      </c>
      <c r="N8" s="318">
        <v>126544</v>
      </c>
      <c r="O8" s="318">
        <v>143567</v>
      </c>
      <c r="P8" s="319">
        <v>162652</v>
      </c>
      <c r="Q8" s="320">
        <f t="shared" si="0"/>
        <v>3.7555264786988571</v>
      </c>
      <c r="R8" s="320">
        <f t="shared" si="1"/>
        <v>4.4326852011742357</v>
      </c>
      <c r="S8" s="320">
        <f t="shared" si="2"/>
        <v>5.2337478510028648</v>
      </c>
      <c r="T8" s="320">
        <f t="shared" si="3"/>
        <v>6.1201518681201428</v>
      </c>
      <c r="U8" s="320">
        <f t="shared" si="4"/>
        <v>5.0645234859021375</v>
      </c>
      <c r="V8" s="320">
        <f t="shared" si="5"/>
        <v>7.3136584312550932</v>
      </c>
      <c r="W8" s="320">
        <f t="shared" si="6"/>
        <v>7.685119150087302</v>
      </c>
      <c r="X8" s="320">
        <f t="shared" si="7"/>
        <v>7.685119150087302</v>
      </c>
    </row>
    <row r="9" spans="1:24" ht="20.100000000000001" customHeight="1">
      <c r="A9" s="315">
        <v>3</v>
      </c>
      <c r="B9" s="316" t="s">
        <v>14</v>
      </c>
      <c r="C9" s="317">
        <v>2098.7462</v>
      </c>
      <c r="D9" s="317">
        <v>2285.9520000000002</v>
      </c>
      <c r="E9" s="317">
        <v>2807.67</v>
      </c>
      <c r="F9" s="317">
        <v>3104.9</v>
      </c>
      <c r="G9" s="317">
        <v>3481.93</v>
      </c>
      <c r="H9" s="317">
        <v>3722.79</v>
      </c>
      <c r="I9" s="317">
        <v>4100</v>
      </c>
      <c r="J9" s="318">
        <v>33963</v>
      </c>
      <c r="K9" s="318">
        <v>41483</v>
      </c>
      <c r="L9" s="318">
        <v>48189</v>
      </c>
      <c r="M9" s="318">
        <v>56355</v>
      </c>
      <c r="N9" s="318">
        <v>63812</v>
      </c>
      <c r="O9" s="318">
        <v>72076</v>
      </c>
      <c r="P9" s="319">
        <v>82585</v>
      </c>
      <c r="Q9" s="320">
        <f t="shared" si="0"/>
        <v>6.1795076995553986</v>
      </c>
      <c r="R9" s="320">
        <f t="shared" si="1"/>
        <v>5.5105754164356489</v>
      </c>
      <c r="S9" s="320">
        <f t="shared" si="2"/>
        <v>5.8263711635435467</v>
      </c>
      <c r="T9" s="320">
        <f t="shared" si="3"/>
        <v>5.5095377517522843</v>
      </c>
      <c r="U9" s="320">
        <f t="shared" si="4"/>
        <v>5.4565442236569925</v>
      </c>
      <c r="V9" s="320">
        <f t="shared" si="5"/>
        <v>5.1650896276152949</v>
      </c>
      <c r="W9" s="320">
        <f t="shared" si="6"/>
        <v>4.964581945873948</v>
      </c>
      <c r="X9" s="320">
        <f t="shared" si="7"/>
        <v>4.964581945873948</v>
      </c>
    </row>
    <row r="10" spans="1:24" ht="20.100000000000001" customHeight="1">
      <c r="A10" s="315">
        <v>4</v>
      </c>
      <c r="B10" s="316" t="s">
        <v>52</v>
      </c>
      <c r="C10" s="317">
        <v>4403.3104999999996</v>
      </c>
      <c r="D10" s="317">
        <v>4826.7001</v>
      </c>
      <c r="E10" s="317">
        <v>5279.1410999999998</v>
      </c>
      <c r="F10" s="317">
        <v>5768.05</v>
      </c>
      <c r="G10" s="317">
        <v>6357.4004000000004</v>
      </c>
      <c r="H10" s="317">
        <v>7300</v>
      </c>
      <c r="I10" s="317">
        <v>7300</v>
      </c>
      <c r="J10" s="318">
        <v>37099</v>
      </c>
      <c r="K10" s="318">
        <v>42315</v>
      </c>
      <c r="L10" s="318">
        <v>48385</v>
      </c>
      <c r="M10" s="318">
        <v>56976</v>
      </c>
      <c r="N10" s="318">
        <v>65979</v>
      </c>
      <c r="O10" s="318">
        <v>76115</v>
      </c>
      <c r="P10" s="319">
        <v>87319</v>
      </c>
      <c r="Q10" s="320">
        <f t="shared" si="0"/>
        <v>11.869081376856517</v>
      </c>
      <c r="R10" s="320">
        <f t="shared" si="1"/>
        <v>11.406593642916224</v>
      </c>
      <c r="S10" s="320">
        <f t="shared" si="2"/>
        <v>10.910697736901932</v>
      </c>
      <c r="T10" s="320">
        <f t="shared" si="3"/>
        <v>10.123648553777029</v>
      </c>
      <c r="U10" s="320">
        <f t="shared" si="4"/>
        <v>9.635490686430531</v>
      </c>
      <c r="V10" s="320">
        <f t="shared" si="5"/>
        <v>9.5907508375484465</v>
      </c>
      <c r="W10" s="320">
        <f t="shared" si="6"/>
        <v>8.3601507117580365</v>
      </c>
      <c r="X10" s="320">
        <f t="shared" si="7"/>
        <v>8.3601507117580365</v>
      </c>
    </row>
    <row r="11" spans="1:24" ht="20.100000000000001" customHeight="1">
      <c r="A11" s="315">
        <v>5</v>
      </c>
      <c r="B11" s="316" t="s">
        <v>16</v>
      </c>
      <c r="C11" s="317">
        <v>1336.5032000000001</v>
      </c>
      <c r="D11" s="317">
        <v>1521.5023000000001</v>
      </c>
      <c r="E11" s="317">
        <v>1784.4138</v>
      </c>
      <c r="F11" s="317">
        <v>1680.11</v>
      </c>
      <c r="G11" s="317">
        <v>2172.7190000000001</v>
      </c>
      <c r="H11" s="317">
        <v>2218.8953000000001</v>
      </c>
      <c r="I11" s="317">
        <v>3650</v>
      </c>
      <c r="J11" s="318">
        <v>6783</v>
      </c>
      <c r="K11" s="318">
        <v>7399</v>
      </c>
      <c r="L11" s="318">
        <v>8254</v>
      </c>
      <c r="M11" s="318">
        <v>9108</v>
      </c>
      <c r="N11" s="318">
        <v>10410</v>
      </c>
      <c r="O11" s="318">
        <v>11713</v>
      </c>
      <c r="P11" s="319">
        <f>+LOGEST(J11:O11)*O11</f>
        <v>13076.504452087576</v>
      </c>
      <c r="Q11" s="320">
        <f t="shared" si="0"/>
        <v>19.70371811882648</v>
      </c>
      <c r="R11" s="320">
        <f t="shared" si="1"/>
        <v>20.563620759562102</v>
      </c>
      <c r="S11" s="320">
        <f t="shared" si="2"/>
        <v>21.618776350860188</v>
      </c>
      <c r="T11" s="320">
        <f t="shared" si="3"/>
        <v>18.446530522617476</v>
      </c>
      <c r="U11" s="320">
        <f t="shared" si="4"/>
        <v>20.871460134486071</v>
      </c>
      <c r="V11" s="320">
        <f t="shared" si="5"/>
        <v>18.943868351404426</v>
      </c>
      <c r="W11" s="320">
        <f t="shared" si="6"/>
        <v>27.912658259503765</v>
      </c>
      <c r="X11" s="320">
        <f t="shared" si="7"/>
        <v>27.912658259503765</v>
      </c>
    </row>
    <row r="12" spans="1:24" ht="20.100000000000001" customHeight="1">
      <c r="A12" s="315">
        <v>6</v>
      </c>
      <c r="B12" s="316" t="s">
        <v>17</v>
      </c>
      <c r="C12" s="317">
        <v>984.06539999999995</v>
      </c>
      <c r="D12" s="317">
        <v>1386.9577999999999</v>
      </c>
      <c r="E12" s="317">
        <v>1417.8633</v>
      </c>
      <c r="F12" s="317">
        <v>2109.19</v>
      </c>
      <c r="G12" s="317">
        <v>2507.5828000000001</v>
      </c>
      <c r="H12" s="317">
        <v>3475</v>
      </c>
      <c r="I12" s="317">
        <v>4151</v>
      </c>
      <c r="J12" s="318">
        <v>9735</v>
      </c>
      <c r="K12" s="318">
        <v>11617</v>
      </c>
      <c r="L12" s="318">
        <v>12709</v>
      </c>
      <c r="M12" s="318">
        <v>14528</v>
      </c>
      <c r="N12" s="318">
        <v>16173</v>
      </c>
      <c r="O12" s="318">
        <v>18363</v>
      </c>
      <c r="P12" s="319">
        <v>20808</v>
      </c>
      <c r="Q12" s="320">
        <f t="shared" si="0"/>
        <v>10.108530046224962</v>
      </c>
      <c r="R12" s="320">
        <f t="shared" si="1"/>
        <v>11.939035895670138</v>
      </c>
      <c r="S12" s="320">
        <f t="shared" si="2"/>
        <v>11.156371862459673</v>
      </c>
      <c r="T12" s="320">
        <f t="shared" si="3"/>
        <v>14.518102973568281</v>
      </c>
      <c r="U12" s="320">
        <f t="shared" si="4"/>
        <v>15.504747418537068</v>
      </c>
      <c r="V12" s="320">
        <f t="shared" si="5"/>
        <v>18.923923106246257</v>
      </c>
      <c r="W12" s="320">
        <f t="shared" si="6"/>
        <v>19.949058054594389</v>
      </c>
      <c r="X12" s="320">
        <f t="shared" si="7"/>
        <v>19.949058054594389</v>
      </c>
    </row>
    <row r="13" spans="1:24" ht="20.100000000000001" customHeight="1">
      <c r="A13" s="315">
        <v>7</v>
      </c>
      <c r="B13" s="316" t="s">
        <v>18</v>
      </c>
      <c r="C13" s="317">
        <v>767.33350000000007</v>
      </c>
      <c r="D13" s="317">
        <v>822.52809999999999</v>
      </c>
      <c r="E13" s="317">
        <v>1067.2208000000001</v>
      </c>
      <c r="F13" s="317">
        <v>1110.69</v>
      </c>
      <c r="G13" s="317">
        <v>1440.0243</v>
      </c>
      <c r="H13" s="317">
        <v>2300</v>
      </c>
      <c r="I13" s="317">
        <v>2500.0000300000006</v>
      </c>
      <c r="J13" s="318">
        <v>3816</v>
      </c>
      <c r="K13" s="318">
        <v>4577</v>
      </c>
      <c r="L13" s="318">
        <v>5260</v>
      </c>
      <c r="M13" s="318">
        <v>6058</v>
      </c>
      <c r="N13" s="318">
        <v>6991</v>
      </c>
      <c r="O13" s="321">
        <v>7229</v>
      </c>
      <c r="P13" s="319">
        <f>+LOGEST(J13:O13)*O13</f>
        <v>8245.885691503594</v>
      </c>
      <c r="Q13" s="320">
        <f t="shared" si="0"/>
        <v>20.108320230607969</v>
      </c>
      <c r="R13" s="320">
        <f t="shared" si="1"/>
        <v>17.970900152938608</v>
      </c>
      <c r="S13" s="320">
        <f t="shared" si="2"/>
        <v>20.289368821292779</v>
      </c>
      <c r="T13" s="320">
        <f t="shared" si="3"/>
        <v>18.334268735556289</v>
      </c>
      <c r="U13" s="320">
        <f t="shared" si="4"/>
        <v>20.59825919038764</v>
      </c>
      <c r="V13" s="320">
        <f t="shared" si="5"/>
        <v>31.816295476552774</v>
      </c>
      <c r="W13" s="320">
        <f t="shared" si="6"/>
        <v>30.318150451393645</v>
      </c>
      <c r="X13" s="320">
        <f t="shared" si="7"/>
        <v>30.318150451393645</v>
      </c>
    </row>
    <row r="14" spans="1:24" ht="20.100000000000001" customHeight="1">
      <c r="A14" s="315">
        <v>8</v>
      </c>
      <c r="B14" s="316" t="s">
        <v>19</v>
      </c>
      <c r="C14" s="317">
        <v>846.95309999999995</v>
      </c>
      <c r="D14" s="317">
        <v>1097.4150999999999</v>
      </c>
      <c r="E14" s="317">
        <v>1428.4957400000003</v>
      </c>
      <c r="F14" s="317">
        <v>1356.11</v>
      </c>
      <c r="G14" s="317">
        <v>1630.1522999999997</v>
      </c>
      <c r="H14" s="317">
        <v>1735.1179999999999</v>
      </c>
      <c r="I14" s="317">
        <v>2000</v>
      </c>
      <c r="J14" s="318">
        <v>8075</v>
      </c>
      <c r="K14" s="318">
        <v>9436</v>
      </c>
      <c r="L14" s="318">
        <v>10527</v>
      </c>
      <c r="M14" s="318">
        <v>11315</v>
      </c>
      <c r="N14" s="318">
        <v>12272</v>
      </c>
      <c r="O14" s="321">
        <v>13322</v>
      </c>
      <c r="P14" s="319">
        <f>+LOGEST(J14:O14)*O14</f>
        <v>14665.891815034398</v>
      </c>
      <c r="Q14" s="320">
        <f t="shared" si="0"/>
        <v>10.488583281733746</v>
      </c>
      <c r="R14" s="320">
        <f t="shared" si="1"/>
        <v>11.630087961000424</v>
      </c>
      <c r="S14" s="320">
        <f t="shared" si="2"/>
        <v>13.569827491213074</v>
      </c>
      <c r="T14" s="320">
        <f t="shared" si="3"/>
        <v>11.985064074237735</v>
      </c>
      <c r="U14" s="320">
        <f t="shared" si="4"/>
        <v>13.283509615384615</v>
      </c>
      <c r="V14" s="320">
        <f t="shared" si="5"/>
        <v>13.024455787419306</v>
      </c>
      <c r="W14" s="320">
        <f t="shared" si="6"/>
        <v>13.637084094332035</v>
      </c>
      <c r="X14" s="320">
        <f t="shared" si="7"/>
        <v>13.637084094332035</v>
      </c>
    </row>
    <row r="15" spans="1:24" ht="20.100000000000001" customHeight="1">
      <c r="A15" s="315">
        <v>9</v>
      </c>
      <c r="B15" s="316" t="s">
        <v>20</v>
      </c>
      <c r="C15" s="317">
        <v>607.04239999999993</v>
      </c>
      <c r="D15" s="317">
        <v>1140.2485999999999</v>
      </c>
      <c r="E15" s="317">
        <v>1019.2557</v>
      </c>
      <c r="F15" s="317">
        <v>841.65</v>
      </c>
      <c r="G15" s="317">
        <v>1225.7190000000001</v>
      </c>
      <c r="H15" s="317">
        <v>1877</v>
      </c>
      <c r="I15" s="317">
        <v>2060</v>
      </c>
      <c r="J15" s="318">
        <v>2506</v>
      </c>
      <c r="K15" s="318">
        <v>3229</v>
      </c>
      <c r="L15" s="318">
        <v>6133</v>
      </c>
      <c r="M15" s="318">
        <v>7145</v>
      </c>
      <c r="N15" s="318">
        <v>8400</v>
      </c>
      <c r="O15" s="321">
        <v>9450</v>
      </c>
      <c r="P15" s="319">
        <f>+LOGEST(J15:O15)*O15</f>
        <v>12452.787334444844</v>
      </c>
      <c r="Q15" s="320">
        <f t="shared" si="0"/>
        <v>24.223559457302471</v>
      </c>
      <c r="R15" s="320">
        <f t="shared" si="1"/>
        <v>35.312746980489315</v>
      </c>
      <c r="S15" s="320">
        <f t="shared" si="2"/>
        <v>16.619202674058371</v>
      </c>
      <c r="T15" s="320">
        <f t="shared" si="3"/>
        <v>11.779566130160951</v>
      </c>
      <c r="U15" s="320">
        <f t="shared" si="4"/>
        <v>14.591892857142858</v>
      </c>
      <c r="V15" s="320">
        <f t="shared" si="5"/>
        <v>19.862433862433861</v>
      </c>
      <c r="W15" s="320">
        <f t="shared" si="6"/>
        <v>16.542481170476332</v>
      </c>
      <c r="X15" s="320">
        <f t="shared" si="7"/>
        <v>16.542481170476332</v>
      </c>
    </row>
    <row r="16" spans="1:24" ht="20.100000000000001" customHeight="1">
      <c r="A16" s="315">
        <v>10</v>
      </c>
      <c r="B16" s="316" t="s">
        <v>21</v>
      </c>
      <c r="C16" s="317">
        <v>1067.1507000000001</v>
      </c>
      <c r="D16" s="317">
        <v>1431.1577</v>
      </c>
      <c r="E16" s="317">
        <v>1735.5678</v>
      </c>
      <c r="F16" s="317">
        <v>1441.04</v>
      </c>
      <c r="G16" s="317">
        <v>1796.1647999999998</v>
      </c>
      <c r="H16" s="317">
        <v>2187.7800000000002</v>
      </c>
      <c r="I16" s="317">
        <v>2500</v>
      </c>
      <c r="J16" s="318">
        <v>11797</v>
      </c>
      <c r="K16" s="318">
        <v>13573</v>
      </c>
      <c r="L16" s="318">
        <v>15403</v>
      </c>
      <c r="M16" s="318">
        <v>17545</v>
      </c>
      <c r="N16" s="318">
        <v>19910</v>
      </c>
      <c r="O16" s="321">
        <v>22139</v>
      </c>
      <c r="P16" s="319">
        <f>+LOGEST(J16:O16)*O16</f>
        <v>25124.147002629463</v>
      </c>
      <c r="Q16" s="320">
        <f t="shared" si="0"/>
        <v>9.0459498177502766</v>
      </c>
      <c r="R16" s="320">
        <f t="shared" si="1"/>
        <v>10.544151624548736</v>
      </c>
      <c r="S16" s="320">
        <f t="shared" si="2"/>
        <v>11.26772576770759</v>
      </c>
      <c r="T16" s="320">
        <f t="shared" si="3"/>
        <v>8.2133941293815909</v>
      </c>
      <c r="U16" s="320">
        <f t="shared" si="4"/>
        <v>9.0214203917629323</v>
      </c>
      <c r="V16" s="320">
        <f t="shared" si="5"/>
        <v>9.8820181580017188</v>
      </c>
      <c r="W16" s="320">
        <f t="shared" si="6"/>
        <v>9.9505865800671867</v>
      </c>
      <c r="X16" s="320">
        <f t="shared" si="7"/>
        <v>9.9505865800671867</v>
      </c>
    </row>
    <row r="17" spans="1:24" ht="20.100000000000001" customHeight="1">
      <c r="A17" s="315">
        <v>11</v>
      </c>
      <c r="B17" s="316" t="s">
        <v>22</v>
      </c>
      <c r="C17" s="317">
        <v>3944.8821999999996</v>
      </c>
      <c r="D17" s="317">
        <v>3653.5678000000003</v>
      </c>
      <c r="E17" s="317">
        <v>3514.0871000000002</v>
      </c>
      <c r="F17" s="317">
        <v>4475.1000000000004</v>
      </c>
      <c r="G17" s="317">
        <v>5165.8269</v>
      </c>
      <c r="H17" s="317">
        <v>8200</v>
      </c>
      <c r="I17" s="317">
        <v>8500</v>
      </c>
      <c r="J17" s="318">
        <v>45856</v>
      </c>
      <c r="K17" s="318">
        <v>56025</v>
      </c>
      <c r="L17" s="318">
        <v>70736</v>
      </c>
      <c r="M17" s="318">
        <v>82918</v>
      </c>
      <c r="N17" s="318">
        <v>93162</v>
      </c>
      <c r="O17" s="321">
        <v>107548</v>
      </c>
      <c r="P17" s="319">
        <v>132969</v>
      </c>
      <c r="Q17" s="320">
        <f t="shared" si="0"/>
        <v>8.6027612526168866</v>
      </c>
      <c r="R17" s="320">
        <f t="shared" si="1"/>
        <v>6.5213169120928161</v>
      </c>
      <c r="S17" s="320">
        <f t="shared" si="2"/>
        <v>4.9678906073286591</v>
      </c>
      <c r="T17" s="320">
        <f t="shared" si="3"/>
        <v>5.397018741407174</v>
      </c>
      <c r="U17" s="320">
        <f t="shared" si="4"/>
        <v>5.5449935596058477</v>
      </c>
      <c r="V17" s="320">
        <f t="shared" si="5"/>
        <v>7.6245025476996311</v>
      </c>
      <c r="W17" s="320">
        <f t="shared" si="6"/>
        <v>6.3924674172175466</v>
      </c>
      <c r="X17" s="320">
        <f t="shared" si="7"/>
        <v>6.3924674172175466</v>
      </c>
    </row>
    <row r="18" spans="1:24" ht="22.5" customHeight="1">
      <c r="A18" s="307"/>
      <c r="B18" s="322" t="s">
        <v>202</v>
      </c>
      <c r="C18" s="323">
        <f t="shared" ref="C18:P18" si="8">SUM(C7:C17)</f>
        <v>19808.249899999999</v>
      </c>
      <c r="D18" s="323">
        <f t="shared" si="8"/>
        <v>23499.0664</v>
      </c>
      <c r="E18" s="323">
        <f t="shared" si="8"/>
        <v>27092.814839999999</v>
      </c>
      <c r="F18" s="323">
        <f t="shared" si="8"/>
        <v>31325.050000000003</v>
      </c>
      <c r="G18" s="323">
        <f t="shared" si="8"/>
        <v>35128.972399999999</v>
      </c>
      <c r="H18" s="323">
        <f t="shared" si="8"/>
        <v>47051.583299999998</v>
      </c>
      <c r="I18" s="323">
        <f t="shared" si="8"/>
        <v>52961.000030000003</v>
      </c>
      <c r="J18" s="324">
        <f t="shared" si="8"/>
        <v>235516</v>
      </c>
      <c r="K18" s="324">
        <f t="shared" si="8"/>
        <v>276415</v>
      </c>
      <c r="L18" s="324">
        <f t="shared" si="8"/>
        <v>329044</v>
      </c>
      <c r="M18" s="324">
        <f t="shared" si="8"/>
        <v>383146</v>
      </c>
      <c r="N18" s="324">
        <f t="shared" si="8"/>
        <v>434789</v>
      </c>
      <c r="O18" s="325">
        <f t="shared" si="8"/>
        <v>494224</v>
      </c>
      <c r="P18" s="325">
        <f t="shared" si="8"/>
        <v>573280.21629569982</v>
      </c>
      <c r="Q18" s="320">
        <f t="shared" si="0"/>
        <v>8.4105750352417665</v>
      </c>
      <c r="R18" s="320">
        <f t="shared" si="1"/>
        <v>8.5013716332326386</v>
      </c>
      <c r="S18" s="320">
        <f t="shared" si="2"/>
        <v>8.2337969511676246</v>
      </c>
      <c r="T18" s="320">
        <f t="shared" si="3"/>
        <v>8.1757476262312547</v>
      </c>
      <c r="U18" s="320">
        <f t="shared" si="4"/>
        <v>8.0795448826902252</v>
      </c>
      <c r="V18" s="320">
        <f t="shared" si="5"/>
        <v>9.5202951091003261</v>
      </c>
      <c r="W18" s="320">
        <f t="shared" si="6"/>
        <v>9.2382396120717587</v>
      </c>
      <c r="X18" s="320">
        <f t="shared" si="7"/>
        <v>9.2382396120717587</v>
      </c>
    </row>
    <row r="19" spans="1:24" ht="22.5" customHeight="1">
      <c r="A19" s="307"/>
      <c r="B19" s="326" t="s">
        <v>189</v>
      </c>
      <c r="C19" s="327"/>
      <c r="D19" s="327"/>
      <c r="E19" s="323"/>
      <c r="F19" s="323"/>
      <c r="G19" s="323"/>
      <c r="H19" s="323"/>
      <c r="I19" s="323"/>
      <c r="J19" s="324"/>
      <c r="K19" s="324"/>
      <c r="L19" s="324"/>
      <c r="M19" s="324"/>
      <c r="N19" s="324"/>
      <c r="O19" s="325"/>
      <c r="P19" s="325"/>
      <c r="Q19" s="320"/>
      <c r="R19" s="320"/>
      <c r="S19" s="320"/>
      <c r="T19" s="320"/>
      <c r="U19" s="320"/>
      <c r="V19" s="320"/>
      <c r="W19" s="320"/>
      <c r="X19" s="320"/>
    </row>
    <row r="20" spans="1:24" ht="20.100000000000001" customHeight="1">
      <c r="A20" s="315">
        <v>12</v>
      </c>
      <c r="B20" s="316" t="s">
        <v>203</v>
      </c>
      <c r="C20" s="317">
        <v>27170.795999999998</v>
      </c>
      <c r="D20" s="317">
        <v>30617.676299999999</v>
      </c>
      <c r="E20" s="317">
        <v>29390.9689</v>
      </c>
      <c r="F20" s="317">
        <v>32248.71</v>
      </c>
      <c r="G20" s="317">
        <v>39265.050029999999</v>
      </c>
      <c r="H20" s="317">
        <v>44959.040000000001</v>
      </c>
      <c r="I20" s="317">
        <v>53000</v>
      </c>
      <c r="J20" s="318">
        <v>364813</v>
      </c>
      <c r="K20" s="318">
        <v>426765</v>
      </c>
      <c r="L20" s="318">
        <v>476835</v>
      </c>
      <c r="M20" s="318">
        <v>570992</v>
      </c>
      <c r="N20" s="318">
        <v>655181</v>
      </c>
      <c r="O20" s="321">
        <v>750182</v>
      </c>
      <c r="P20" s="319">
        <v>857364</v>
      </c>
      <c r="Q20" s="320">
        <f t="shared" ref="Q20:Q38" si="9">+C20/J20*100</f>
        <v>7.4478694564064325</v>
      </c>
      <c r="R20" s="320">
        <f t="shared" ref="R20:R38" si="10">+D20/K20*100</f>
        <v>7.1743644160134972</v>
      </c>
      <c r="S20" s="320">
        <f t="shared" ref="S20:S38" si="11">+E20/L20*100</f>
        <v>6.1637608187318467</v>
      </c>
      <c r="T20" s="320">
        <f t="shared" ref="T20:T38" si="12">+F20/M20*100</f>
        <v>5.6478391991481489</v>
      </c>
      <c r="U20" s="320">
        <f t="shared" ref="U20:U38" si="13">+G20/N20*100</f>
        <v>5.9930080435787971</v>
      </c>
      <c r="V20" s="320">
        <f t="shared" ref="V20:V38" si="14">+H20/O20*100</f>
        <v>5.9930843448656468</v>
      </c>
      <c r="W20" s="320">
        <f t="shared" ref="W20:W38" si="15">+I20/P20*100</f>
        <v>6.1817384448145711</v>
      </c>
      <c r="X20" s="320">
        <f t="shared" ref="X20:X38" si="16">+I20/P20*100</f>
        <v>6.1817384448145711</v>
      </c>
    </row>
    <row r="21" spans="1:24" ht="20.100000000000001" customHeight="1">
      <c r="A21" s="315">
        <v>13</v>
      </c>
      <c r="B21" s="316" t="s">
        <v>26</v>
      </c>
      <c r="C21" s="317">
        <v>9652.3041000000012</v>
      </c>
      <c r="D21" s="317">
        <v>12510.776899999999</v>
      </c>
      <c r="E21" s="317">
        <v>14183.51</v>
      </c>
      <c r="F21" s="317">
        <v>18717.580000000002</v>
      </c>
      <c r="G21" s="317">
        <v>21018.558300000001</v>
      </c>
      <c r="H21" s="317">
        <v>25203.538700000001</v>
      </c>
      <c r="I21" s="317">
        <v>34000</v>
      </c>
      <c r="J21" s="318">
        <v>113680</v>
      </c>
      <c r="K21" s="318">
        <v>142279</v>
      </c>
      <c r="L21" s="318">
        <v>164547</v>
      </c>
      <c r="M21" s="318">
        <v>198135</v>
      </c>
      <c r="N21" s="318">
        <v>246487</v>
      </c>
      <c r="O21" s="321">
        <v>294388</v>
      </c>
      <c r="P21" s="319">
        <v>368337</v>
      </c>
      <c r="Q21" s="320">
        <f t="shared" si="9"/>
        <v>8.4907671534130902</v>
      </c>
      <c r="R21" s="320">
        <f t="shared" si="10"/>
        <v>8.7931296255947817</v>
      </c>
      <c r="S21" s="320">
        <f t="shared" si="11"/>
        <v>8.6197317483758447</v>
      </c>
      <c r="T21" s="320">
        <f t="shared" si="12"/>
        <v>9.4468821762939417</v>
      </c>
      <c r="U21" s="320">
        <f t="shared" si="13"/>
        <v>8.5272482118732444</v>
      </c>
      <c r="V21" s="320">
        <f t="shared" si="14"/>
        <v>8.5613335801731054</v>
      </c>
      <c r="W21" s="320">
        <f t="shared" si="15"/>
        <v>9.2306773416735233</v>
      </c>
      <c r="X21" s="320">
        <f t="shared" si="16"/>
        <v>9.2306773416735233</v>
      </c>
    </row>
    <row r="22" spans="1:24" ht="15" customHeight="1">
      <c r="A22" s="315">
        <v>14</v>
      </c>
      <c r="B22" s="316" t="s">
        <v>204</v>
      </c>
      <c r="C22" s="317">
        <v>6196.1103000000003</v>
      </c>
      <c r="D22" s="317">
        <v>8137.3701000000001</v>
      </c>
      <c r="E22" s="317">
        <v>10281.4349</v>
      </c>
      <c r="F22" s="317">
        <v>10081</v>
      </c>
      <c r="G22" s="317">
        <v>12484.1302</v>
      </c>
      <c r="H22" s="317">
        <v>23480</v>
      </c>
      <c r="I22" s="317">
        <v>25250</v>
      </c>
      <c r="J22" s="318">
        <v>80255</v>
      </c>
      <c r="K22" s="318">
        <v>96972</v>
      </c>
      <c r="L22" s="318">
        <v>99364</v>
      </c>
      <c r="M22" s="318">
        <v>117978</v>
      </c>
      <c r="N22" s="318">
        <v>139515</v>
      </c>
      <c r="O22" s="321">
        <v>160188</v>
      </c>
      <c r="P22" s="319">
        <v>175961</v>
      </c>
      <c r="Q22" s="320">
        <f t="shared" si="9"/>
        <v>7.7205286898012595</v>
      </c>
      <c r="R22" s="320">
        <f t="shared" si="10"/>
        <v>8.3914636183640638</v>
      </c>
      <c r="S22" s="320">
        <f t="shared" si="11"/>
        <v>10.347243367819331</v>
      </c>
      <c r="T22" s="320">
        <f t="shared" si="12"/>
        <v>8.5448134397938595</v>
      </c>
      <c r="U22" s="320">
        <f t="shared" si="13"/>
        <v>8.948235100168441</v>
      </c>
      <c r="V22" s="320">
        <f t="shared" si="14"/>
        <v>14.657777111893525</v>
      </c>
      <c r="W22" s="320">
        <f t="shared" si="15"/>
        <v>14.349770687822868</v>
      </c>
      <c r="X22" s="320">
        <f t="shared" si="16"/>
        <v>14.349770687822868</v>
      </c>
    </row>
    <row r="23" spans="1:24" ht="15.75" customHeight="1">
      <c r="A23" s="315">
        <v>15</v>
      </c>
      <c r="B23" s="316" t="s">
        <v>28</v>
      </c>
      <c r="C23" s="317">
        <v>1224.4957999999999</v>
      </c>
      <c r="D23" s="317">
        <v>1574.4989</v>
      </c>
      <c r="E23" s="317">
        <v>1965.5699</v>
      </c>
      <c r="F23" s="317">
        <v>2107.4</v>
      </c>
      <c r="G23" s="317">
        <v>2008.6833999999997</v>
      </c>
      <c r="H23" s="317">
        <v>4700</v>
      </c>
      <c r="I23" s="317">
        <v>4715.0209999999997</v>
      </c>
      <c r="J23" s="318">
        <v>19565</v>
      </c>
      <c r="K23" s="318">
        <v>25414</v>
      </c>
      <c r="L23" s="318">
        <v>29126</v>
      </c>
      <c r="M23" s="318">
        <v>33562</v>
      </c>
      <c r="N23" s="318">
        <v>35932</v>
      </c>
      <c r="O23" s="321">
        <v>41142</v>
      </c>
      <c r="P23" s="319">
        <f>+LOGEST(J23:O23)*O23</f>
        <v>47320.756670176037</v>
      </c>
      <c r="Q23" s="320">
        <f t="shared" si="9"/>
        <v>6.25860362892921</v>
      </c>
      <c r="R23" s="320">
        <f t="shared" si="10"/>
        <v>6.195399779649013</v>
      </c>
      <c r="S23" s="320">
        <f t="shared" si="11"/>
        <v>6.7485061457117359</v>
      </c>
      <c r="T23" s="320">
        <f t="shared" si="12"/>
        <v>6.2791252011203156</v>
      </c>
      <c r="U23" s="320">
        <f t="shared" si="13"/>
        <v>5.5902354447289317</v>
      </c>
      <c r="V23" s="320">
        <f t="shared" si="14"/>
        <v>11.423849107967527</v>
      </c>
      <c r="W23" s="320">
        <f t="shared" si="15"/>
        <v>9.9639594372159461</v>
      </c>
      <c r="X23" s="320">
        <f t="shared" si="16"/>
        <v>9.9639594372159461</v>
      </c>
    </row>
    <row r="24" spans="1:24" ht="14.25" customHeight="1">
      <c r="A24" s="315">
        <v>16</v>
      </c>
      <c r="B24" s="316" t="s">
        <v>29</v>
      </c>
      <c r="C24" s="317">
        <v>15651.473</v>
      </c>
      <c r="D24" s="317">
        <v>21763.68</v>
      </c>
      <c r="E24" s="317">
        <v>22633.825000000001</v>
      </c>
      <c r="F24" s="317">
        <v>30097.05</v>
      </c>
      <c r="G24" s="317">
        <v>34659.799800000001</v>
      </c>
      <c r="H24" s="317">
        <v>51000</v>
      </c>
      <c r="I24" s="317">
        <v>59000</v>
      </c>
      <c r="J24" s="318">
        <v>329285</v>
      </c>
      <c r="K24" s="318">
        <v>367912</v>
      </c>
      <c r="L24" s="318">
        <v>431262</v>
      </c>
      <c r="M24" s="318">
        <v>530430</v>
      </c>
      <c r="N24" s="318">
        <v>611767</v>
      </c>
      <c r="O24" s="321">
        <v>700473</v>
      </c>
      <c r="P24" s="319">
        <f>+LOGEST(J24:O24)*O24</f>
        <v>819823.32287445373</v>
      </c>
      <c r="Q24" s="320">
        <f t="shared" si="9"/>
        <v>4.7531691391955295</v>
      </c>
      <c r="R24" s="320">
        <f t="shared" si="10"/>
        <v>5.9154580443149456</v>
      </c>
      <c r="S24" s="320">
        <f t="shared" si="11"/>
        <v>5.2482771493894669</v>
      </c>
      <c r="T24" s="320">
        <f t="shared" si="12"/>
        <v>5.6740851761778179</v>
      </c>
      <c r="U24" s="320">
        <f t="shared" si="13"/>
        <v>5.6655229523658521</v>
      </c>
      <c r="V24" s="320">
        <f t="shared" si="14"/>
        <v>7.2807945488262931</v>
      </c>
      <c r="W24" s="320">
        <f t="shared" si="15"/>
        <v>7.1966725456327572</v>
      </c>
      <c r="X24" s="320">
        <f t="shared" si="16"/>
        <v>7.1966725456327572</v>
      </c>
    </row>
    <row r="25" spans="1:24" ht="20.100000000000001" customHeight="1">
      <c r="A25" s="315">
        <v>17</v>
      </c>
      <c r="B25" s="316" t="s">
        <v>30</v>
      </c>
      <c r="C25" s="317">
        <v>5751.1848</v>
      </c>
      <c r="D25" s="317">
        <v>7108.2808999999997</v>
      </c>
      <c r="E25" s="317">
        <v>9624.4393</v>
      </c>
      <c r="F25" s="317">
        <v>15497.17</v>
      </c>
      <c r="G25" s="317">
        <v>16051.722600000003</v>
      </c>
      <c r="H25" s="317">
        <v>22935.73</v>
      </c>
      <c r="I25" s="317">
        <v>27072</v>
      </c>
      <c r="J25" s="318">
        <v>151596</v>
      </c>
      <c r="K25" s="318">
        <v>182522</v>
      </c>
      <c r="L25" s="318">
        <v>223600</v>
      </c>
      <c r="M25" s="318">
        <v>265034</v>
      </c>
      <c r="N25" s="318">
        <v>307606</v>
      </c>
      <c r="O25" s="321">
        <v>352209</v>
      </c>
      <c r="P25" s="319">
        <v>392894</v>
      </c>
      <c r="Q25" s="320">
        <f t="shared" si="9"/>
        <v>3.7937576189345368</v>
      </c>
      <c r="R25" s="320">
        <f t="shared" si="10"/>
        <v>3.8944789669190563</v>
      </c>
      <c r="S25" s="320">
        <f t="shared" si="11"/>
        <v>4.3043109570661899</v>
      </c>
      <c r="T25" s="320">
        <f t="shared" si="12"/>
        <v>5.847238467517375</v>
      </c>
      <c r="U25" s="320">
        <f t="shared" si="13"/>
        <v>5.2182735707365921</v>
      </c>
      <c r="V25" s="320">
        <f t="shared" si="14"/>
        <v>6.5119659066065889</v>
      </c>
      <c r="W25" s="320">
        <f t="shared" si="15"/>
        <v>6.8904080998946275</v>
      </c>
      <c r="X25" s="320">
        <f t="shared" si="16"/>
        <v>6.8904080998946275</v>
      </c>
    </row>
    <row r="26" spans="1:24" ht="20.100000000000001" customHeight="1">
      <c r="A26" s="315">
        <v>18</v>
      </c>
      <c r="B26" s="316" t="s">
        <v>31</v>
      </c>
      <c r="C26" s="317">
        <v>5706.35</v>
      </c>
      <c r="D26" s="317">
        <v>6866.1660999999995</v>
      </c>
      <c r="E26" s="317">
        <v>6528.88</v>
      </c>
      <c r="F26" s="317">
        <v>8267.59</v>
      </c>
      <c r="G26" s="317">
        <v>10277.056500000001</v>
      </c>
      <c r="H26" s="317">
        <v>16300</v>
      </c>
      <c r="I26" s="317">
        <v>16800</v>
      </c>
      <c r="J26" s="318">
        <v>83950</v>
      </c>
      <c r="K26" s="318">
        <v>87794</v>
      </c>
      <c r="L26" s="318">
        <v>100621</v>
      </c>
      <c r="M26" s="318">
        <v>115535</v>
      </c>
      <c r="N26" s="318">
        <v>130505</v>
      </c>
      <c r="O26" s="321">
        <v>147841</v>
      </c>
      <c r="P26" s="319">
        <v>189208</v>
      </c>
      <c r="Q26" s="320">
        <f t="shared" si="9"/>
        <v>6.7973198332340683</v>
      </c>
      <c r="R26" s="320">
        <f t="shared" si="10"/>
        <v>7.8207691869603844</v>
      </c>
      <c r="S26" s="320">
        <f t="shared" si="11"/>
        <v>6.4885858816747994</v>
      </c>
      <c r="T26" s="320">
        <f t="shared" si="12"/>
        <v>7.1559181200502016</v>
      </c>
      <c r="U26" s="320">
        <f t="shared" si="13"/>
        <v>7.8748373625531594</v>
      </c>
      <c r="V26" s="320">
        <f t="shared" si="14"/>
        <v>11.025358324145534</v>
      </c>
      <c r="W26" s="320">
        <f t="shared" si="15"/>
        <v>8.8791171620650289</v>
      </c>
      <c r="X26" s="320">
        <f t="shared" si="16"/>
        <v>8.8791171620650289</v>
      </c>
    </row>
    <row r="27" spans="1:24" ht="20.100000000000001" customHeight="1">
      <c r="A27" s="315">
        <v>19</v>
      </c>
      <c r="B27" s="316" t="s">
        <v>32</v>
      </c>
      <c r="C27" s="317">
        <v>17226.915199999999</v>
      </c>
      <c r="D27" s="317">
        <v>22118.210099999997</v>
      </c>
      <c r="E27" s="317">
        <v>25966.995099999996</v>
      </c>
      <c r="F27" s="317">
        <v>31050</v>
      </c>
      <c r="G27" s="317">
        <v>38449.9977</v>
      </c>
      <c r="H27" s="317">
        <v>42100</v>
      </c>
      <c r="I27" s="317">
        <v>47000</v>
      </c>
      <c r="J27" s="318">
        <v>270629</v>
      </c>
      <c r="K27" s="318">
        <v>310312</v>
      </c>
      <c r="L27" s="318">
        <v>337516</v>
      </c>
      <c r="M27" s="318">
        <v>406470</v>
      </c>
      <c r="N27" s="318">
        <v>463243</v>
      </c>
      <c r="O27" s="321">
        <v>527492</v>
      </c>
      <c r="P27" s="319">
        <v>593811</v>
      </c>
      <c r="Q27" s="320">
        <f t="shared" si="9"/>
        <v>6.3655096829977564</v>
      </c>
      <c r="R27" s="320">
        <f t="shared" si="10"/>
        <v>7.1277327657325511</v>
      </c>
      <c r="S27" s="320">
        <f t="shared" si="11"/>
        <v>7.6935597423529538</v>
      </c>
      <c r="T27" s="320">
        <f t="shared" si="12"/>
        <v>7.6389401431839987</v>
      </c>
      <c r="U27" s="320">
        <f t="shared" si="13"/>
        <v>8.3001788909924166</v>
      </c>
      <c r="V27" s="320">
        <f t="shared" si="14"/>
        <v>7.9811636953735787</v>
      </c>
      <c r="W27" s="320">
        <f t="shared" si="15"/>
        <v>7.9149763140123719</v>
      </c>
      <c r="X27" s="320">
        <f t="shared" si="16"/>
        <v>7.9149763140123719</v>
      </c>
    </row>
    <row r="28" spans="1:24" ht="20.100000000000001" customHeight="1">
      <c r="A28" s="315">
        <v>20</v>
      </c>
      <c r="B28" s="316" t="s">
        <v>33</v>
      </c>
      <c r="C28" s="317">
        <v>5085.4515999999994</v>
      </c>
      <c r="D28" s="317">
        <v>6236.8112000000001</v>
      </c>
      <c r="E28" s="317">
        <v>7774.0793000000003</v>
      </c>
      <c r="F28" s="317">
        <v>8700.98</v>
      </c>
      <c r="G28" s="317">
        <v>10954.888300000001</v>
      </c>
      <c r="H28" s="317">
        <v>14010</v>
      </c>
      <c r="I28" s="317">
        <v>17000</v>
      </c>
      <c r="J28" s="318">
        <v>175141</v>
      </c>
      <c r="K28" s="318">
        <v>202783</v>
      </c>
      <c r="L28" s="318">
        <v>231999</v>
      </c>
      <c r="M28" s="318">
        <v>269474</v>
      </c>
      <c r="N28" s="318">
        <v>315206</v>
      </c>
      <c r="O28" s="321">
        <v>360911</v>
      </c>
      <c r="P28" s="319">
        <f>+LOGEST(J28:O28)*O28</f>
        <v>417384.88674775127</v>
      </c>
      <c r="Q28" s="320">
        <f t="shared" si="9"/>
        <v>2.903632844393945</v>
      </c>
      <c r="R28" s="320">
        <f t="shared" si="10"/>
        <v>3.0756085076165163</v>
      </c>
      <c r="S28" s="320">
        <f t="shared" si="11"/>
        <v>3.3509106935805755</v>
      </c>
      <c r="T28" s="320">
        <f t="shared" si="12"/>
        <v>3.2288755130365083</v>
      </c>
      <c r="U28" s="320">
        <f t="shared" si="13"/>
        <v>3.4754694707588052</v>
      </c>
      <c r="V28" s="320">
        <f t="shared" si="14"/>
        <v>3.881843446168169</v>
      </c>
      <c r="W28" s="320">
        <f t="shared" si="15"/>
        <v>4.0729792907604816</v>
      </c>
      <c r="X28" s="320">
        <f t="shared" si="16"/>
        <v>4.0729792907604816</v>
      </c>
    </row>
    <row r="29" spans="1:24" ht="20.100000000000001" customHeight="1">
      <c r="A29" s="315">
        <v>21</v>
      </c>
      <c r="B29" s="316" t="s">
        <v>34</v>
      </c>
      <c r="C29" s="317">
        <v>12047.436000000002</v>
      </c>
      <c r="D29" s="317">
        <v>13081.021299999999</v>
      </c>
      <c r="E29" s="317">
        <v>14609.9995</v>
      </c>
      <c r="F29" s="317">
        <v>20156.84</v>
      </c>
      <c r="G29" s="317">
        <v>22663.837800000001</v>
      </c>
      <c r="H29" s="317">
        <v>28000</v>
      </c>
      <c r="I29" s="317">
        <v>35500</v>
      </c>
      <c r="J29" s="318">
        <v>161479</v>
      </c>
      <c r="K29" s="318">
        <v>197276</v>
      </c>
      <c r="L29" s="318">
        <v>227984</v>
      </c>
      <c r="M29" s="318">
        <v>260198</v>
      </c>
      <c r="N29" s="318">
        <v>309687</v>
      </c>
      <c r="O29" s="321">
        <v>361874</v>
      </c>
      <c r="P29" s="319">
        <v>450900</v>
      </c>
      <c r="Q29" s="320">
        <f t="shared" si="9"/>
        <v>7.460682813245068</v>
      </c>
      <c r="R29" s="320">
        <f t="shared" si="10"/>
        <v>6.630822451793426</v>
      </c>
      <c r="S29" s="320">
        <f t="shared" si="11"/>
        <v>6.4083442259105912</v>
      </c>
      <c r="T29" s="320">
        <f t="shared" si="12"/>
        <v>7.7467313353676817</v>
      </c>
      <c r="U29" s="320">
        <f t="shared" si="13"/>
        <v>7.3183045462031027</v>
      </c>
      <c r="V29" s="320">
        <f t="shared" si="14"/>
        <v>7.7374997927455418</v>
      </c>
      <c r="W29" s="320">
        <f t="shared" si="15"/>
        <v>7.8731426036815249</v>
      </c>
      <c r="X29" s="320">
        <f t="shared" si="16"/>
        <v>7.8731426036815249</v>
      </c>
    </row>
    <row r="30" spans="1:24" ht="20.100000000000001" customHeight="1">
      <c r="A30" s="315">
        <v>22</v>
      </c>
      <c r="B30" s="316" t="s">
        <v>35</v>
      </c>
      <c r="C30" s="317">
        <v>19422.21</v>
      </c>
      <c r="D30" s="317">
        <v>22870.28</v>
      </c>
      <c r="E30" s="317">
        <v>27730.59</v>
      </c>
      <c r="F30" s="317">
        <v>32576.78</v>
      </c>
      <c r="G30" s="317">
        <v>37707.94</v>
      </c>
      <c r="H30" s="317">
        <v>45000</v>
      </c>
      <c r="I30" s="317">
        <v>80500</v>
      </c>
      <c r="J30" s="318">
        <v>684817</v>
      </c>
      <c r="K30" s="318">
        <v>753969</v>
      </c>
      <c r="L30" s="318">
        <v>867866</v>
      </c>
      <c r="M30" s="318">
        <v>1068327</v>
      </c>
      <c r="N30" s="318">
        <v>1248453</v>
      </c>
      <c r="O30" s="321">
        <v>1429479</v>
      </c>
      <c r="P30" s="319">
        <f>+LOGEST(J30:O30)*O30</f>
        <v>1667965.3850373558</v>
      </c>
      <c r="Q30" s="320">
        <f t="shared" si="9"/>
        <v>2.8361168020069596</v>
      </c>
      <c r="R30" s="320">
        <f t="shared" si="10"/>
        <v>3.0333183459797417</v>
      </c>
      <c r="S30" s="320">
        <f t="shared" si="11"/>
        <v>3.1952617109092878</v>
      </c>
      <c r="T30" s="320">
        <f t="shared" si="12"/>
        <v>3.0493266574747246</v>
      </c>
      <c r="U30" s="320">
        <f t="shared" si="13"/>
        <v>3.0203732138895099</v>
      </c>
      <c r="V30" s="320">
        <f t="shared" si="14"/>
        <v>3.1480000755520017</v>
      </c>
      <c r="W30" s="320">
        <f t="shared" si="15"/>
        <v>4.8262392446589724</v>
      </c>
      <c r="X30" s="320">
        <f t="shared" si="16"/>
        <v>4.8262392446589724</v>
      </c>
    </row>
    <row r="31" spans="1:24" ht="17.25" customHeight="1">
      <c r="A31" s="315">
        <v>23</v>
      </c>
      <c r="B31" s="316" t="s">
        <v>74</v>
      </c>
      <c r="C31" s="317">
        <v>6032.8143000000009</v>
      </c>
      <c r="D31" s="317">
        <v>7572.201</v>
      </c>
      <c r="E31" s="317">
        <v>7727.740600000001</v>
      </c>
      <c r="F31" s="317">
        <v>10105.67</v>
      </c>
      <c r="G31" s="317">
        <v>12753.1142</v>
      </c>
      <c r="H31" s="317">
        <v>15200</v>
      </c>
      <c r="I31" s="317">
        <v>21500</v>
      </c>
      <c r="J31" s="318">
        <v>129274</v>
      </c>
      <c r="K31" s="318">
        <v>148491</v>
      </c>
      <c r="L31" s="318">
        <v>162946</v>
      </c>
      <c r="M31" s="318">
        <v>194465</v>
      </c>
      <c r="N31" s="318">
        <v>215899</v>
      </c>
      <c r="O31" s="321">
        <v>258744</v>
      </c>
      <c r="P31" s="319">
        <v>288414</v>
      </c>
      <c r="Q31" s="320">
        <f t="shared" si="9"/>
        <v>4.6666880424524662</v>
      </c>
      <c r="R31" s="320">
        <f t="shared" si="10"/>
        <v>5.0994343091500491</v>
      </c>
      <c r="S31" s="320">
        <f t="shared" si="11"/>
        <v>4.7425162937414855</v>
      </c>
      <c r="T31" s="320">
        <f t="shared" si="12"/>
        <v>5.1966523538940175</v>
      </c>
      <c r="U31" s="320">
        <f t="shared" si="13"/>
        <v>5.9069815978767846</v>
      </c>
      <c r="V31" s="320">
        <f t="shared" si="14"/>
        <v>5.8745323563058474</v>
      </c>
      <c r="W31" s="320">
        <f t="shared" si="15"/>
        <v>7.4545618451254096</v>
      </c>
      <c r="X31" s="320">
        <f t="shared" si="16"/>
        <v>7.4545618451254096</v>
      </c>
    </row>
    <row r="32" spans="1:24" ht="20.100000000000001" customHeight="1">
      <c r="A32" s="315">
        <v>24</v>
      </c>
      <c r="B32" s="316" t="s">
        <v>36</v>
      </c>
      <c r="C32" s="317">
        <v>5024.0942999999997</v>
      </c>
      <c r="D32" s="317">
        <v>6925.0986999999996</v>
      </c>
      <c r="E32" s="317">
        <v>4973.7771999999995</v>
      </c>
      <c r="F32" s="317">
        <v>8324.3700000000008</v>
      </c>
      <c r="G32" s="317">
        <v>7457.4495999999999</v>
      </c>
      <c r="H32" s="317">
        <v>14000</v>
      </c>
      <c r="I32" s="317">
        <v>16125</v>
      </c>
      <c r="J32" s="318">
        <v>152245</v>
      </c>
      <c r="K32" s="318">
        <v>174039</v>
      </c>
      <c r="L32" s="318">
        <v>197500</v>
      </c>
      <c r="M32" s="318">
        <v>226867</v>
      </c>
      <c r="N32" s="318">
        <v>259223</v>
      </c>
      <c r="O32" s="321">
        <v>296007</v>
      </c>
      <c r="P32" s="319">
        <v>319117</v>
      </c>
      <c r="Q32" s="320">
        <f t="shared" si="9"/>
        <v>3.3000061085749941</v>
      </c>
      <c r="R32" s="320">
        <f t="shared" si="10"/>
        <v>3.97904992559139</v>
      </c>
      <c r="S32" s="320">
        <f t="shared" si="11"/>
        <v>2.5183682025316454</v>
      </c>
      <c r="T32" s="320">
        <f t="shared" si="12"/>
        <v>3.6692731864925268</v>
      </c>
      <c r="U32" s="320">
        <f t="shared" si="13"/>
        <v>2.8768471933431834</v>
      </c>
      <c r="V32" s="320">
        <f t="shared" si="14"/>
        <v>4.7296178806582274</v>
      </c>
      <c r="W32" s="320">
        <f t="shared" si="15"/>
        <v>5.0530056374307852</v>
      </c>
      <c r="X32" s="320">
        <f t="shared" si="16"/>
        <v>5.0530056374307852</v>
      </c>
    </row>
    <row r="33" spans="1:24" ht="20.100000000000001" customHeight="1">
      <c r="A33" s="315">
        <v>25</v>
      </c>
      <c r="B33" s="316" t="s">
        <v>37</v>
      </c>
      <c r="C33" s="317">
        <v>13794.686299999999</v>
      </c>
      <c r="D33" s="317">
        <v>14923.348</v>
      </c>
      <c r="E33" s="317">
        <v>18022.685400000002</v>
      </c>
      <c r="F33" s="317">
        <v>21540.28</v>
      </c>
      <c r="G33" s="317">
        <v>25039.266600000003</v>
      </c>
      <c r="H33" s="317">
        <v>36363.779699999999</v>
      </c>
      <c r="I33" s="317">
        <v>40500</v>
      </c>
      <c r="J33" s="318">
        <v>194822</v>
      </c>
      <c r="K33" s="318">
        <v>230949</v>
      </c>
      <c r="L33" s="318">
        <v>265825</v>
      </c>
      <c r="M33" s="318">
        <v>341865</v>
      </c>
      <c r="N33" s="318">
        <v>416755</v>
      </c>
      <c r="O33" s="321">
        <v>464682</v>
      </c>
      <c r="P33" s="319">
        <v>513688</v>
      </c>
      <c r="Q33" s="320">
        <f t="shared" si="9"/>
        <v>7.080661475603371</v>
      </c>
      <c r="R33" s="320">
        <f t="shared" si="10"/>
        <v>6.4617504297485597</v>
      </c>
      <c r="S33" s="320">
        <f t="shared" si="11"/>
        <v>6.7799061036396129</v>
      </c>
      <c r="T33" s="320">
        <f t="shared" si="12"/>
        <v>6.3008146490573766</v>
      </c>
      <c r="U33" s="320">
        <f t="shared" si="13"/>
        <v>6.0081502561456981</v>
      </c>
      <c r="V33" s="320">
        <f t="shared" si="14"/>
        <v>7.8255193228917843</v>
      </c>
      <c r="W33" s="320">
        <f t="shared" si="15"/>
        <v>7.8841631496161098</v>
      </c>
      <c r="X33" s="320">
        <f t="shared" si="16"/>
        <v>7.8841631496161098</v>
      </c>
    </row>
    <row r="34" spans="1:24" ht="15" customHeight="1">
      <c r="A34" s="315">
        <v>26</v>
      </c>
      <c r="B34" s="316" t="s">
        <v>38</v>
      </c>
      <c r="C34" s="317">
        <v>14224.3156</v>
      </c>
      <c r="D34" s="317">
        <v>16246.053300000001</v>
      </c>
      <c r="E34" s="317">
        <v>17833.5</v>
      </c>
      <c r="F34" s="317">
        <v>20464.77</v>
      </c>
      <c r="G34" s="317">
        <v>23857.68</v>
      </c>
      <c r="H34" s="317">
        <v>28000</v>
      </c>
      <c r="I34" s="317">
        <v>37128</v>
      </c>
      <c r="J34" s="318">
        <v>350819</v>
      </c>
      <c r="K34" s="318">
        <v>401336</v>
      </c>
      <c r="L34" s="318">
        <v>479720</v>
      </c>
      <c r="M34" s="318">
        <v>566422</v>
      </c>
      <c r="N34" s="318">
        <v>639025</v>
      </c>
      <c r="O34" s="318">
        <v>723106</v>
      </c>
      <c r="P34" s="319">
        <v>850319</v>
      </c>
      <c r="Q34" s="320">
        <f t="shared" si="9"/>
        <v>4.0546024018083395</v>
      </c>
      <c r="R34" s="320">
        <f t="shared" si="10"/>
        <v>4.0479930282855268</v>
      </c>
      <c r="S34" s="320">
        <f t="shared" si="11"/>
        <v>3.7174810306011845</v>
      </c>
      <c r="T34" s="320">
        <f t="shared" si="12"/>
        <v>3.612989961548104</v>
      </c>
      <c r="U34" s="320">
        <f t="shared" si="13"/>
        <v>3.7334501780055556</v>
      </c>
      <c r="V34" s="320">
        <f t="shared" si="14"/>
        <v>3.8721847142742556</v>
      </c>
      <c r="W34" s="320">
        <f t="shared" si="15"/>
        <v>4.3663613302772255</v>
      </c>
      <c r="X34" s="320">
        <f t="shared" si="16"/>
        <v>4.3663613302772255</v>
      </c>
    </row>
    <row r="35" spans="1:24" ht="20.100000000000001" customHeight="1">
      <c r="A35" s="315">
        <v>27</v>
      </c>
      <c r="B35" s="316" t="s">
        <v>39</v>
      </c>
      <c r="C35" s="317">
        <v>24296.526699999999</v>
      </c>
      <c r="D35" s="317">
        <v>34287.620600000002</v>
      </c>
      <c r="E35" s="317">
        <v>37211.511099999996</v>
      </c>
      <c r="F35" s="317">
        <v>41300.699999999997</v>
      </c>
      <c r="G35" s="317">
        <v>45706.571600000003</v>
      </c>
      <c r="H35" s="317">
        <v>48302.81</v>
      </c>
      <c r="I35" s="317">
        <v>69200</v>
      </c>
      <c r="J35" s="318">
        <v>383026</v>
      </c>
      <c r="K35" s="318">
        <v>444685</v>
      </c>
      <c r="L35" s="318">
        <v>523394</v>
      </c>
      <c r="M35" s="318">
        <v>600917</v>
      </c>
      <c r="N35" s="318">
        <v>684173</v>
      </c>
      <c r="O35" s="318">
        <v>776433</v>
      </c>
      <c r="P35" s="319">
        <v>886410</v>
      </c>
      <c r="Q35" s="320">
        <f t="shared" si="9"/>
        <v>6.3433100363943966</v>
      </c>
      <c r="R35" s="320">
        <f t="shared" si="10"/>
        <v>7.7105413045189293</v>
      </c>
      <c r="S35" s="320">
        <f t="shared" si="11"/>
        <v>7.1096556513830871</v>
      </c>
      <c r="T35" s="320">
        <f t="shared" si="12"/>
        <v>6.8729458477626695</v>
      </c>
      <c r="U35" s="320">
        <f t="shared" si="13"/>
        <v>6.6805576367380768</v>
      </c>
      <c r="V35" s="320">
        <f t="shared" si="14"/>
        <v>6.2211175980412987</v>
      </c>
      <c r="W35" s="320">
        <f t="shared" si="15"/>
        <v>7.8067711329971461</v>
      </c>
      <c r="X35" s="320">
        <f t="shared" si="16"/>
        <v>7.8067711329971461</v>
      </c>
    </row>
    <row r="36" spans="1:24" ht="16.5" customHeight="1">
      <c r="A36" s="315">
        <v>28</v>
      </c>
      <c r="B36" s="316" t="s">
        <v>40</v>
      </c>
      <c r="C36" s="317">
        <v>8857.8644999999997</v>
      </c>
      <c r="D36" s="317">
        <v>10396.9</v>
      </c>
      <c r="E36" s="317">
        <v>12121.5445</v>
      </c>
      <c r="F36" s="317">
        <v>11874.48</v>
      </c>
      <c r="G36" s="317">
        <v>14074.52663</v>
      </c>
      <c r="H36" s="317">
        <v>25910</v>
      </c>
      <c r="I36" s="317">
        <v>30314</v>
      </c>
      <c r="J36" s="318">
        <v>299483</v>
      </c>
      <c r="K36" s="318">
        <v>341942</v>
      </c>
      <c r="L36" s="318">
        <v>398880</v>
      </c>
      <c r="M36" s="318">
        <v>475146</v>
      </c>
      <c r="N36" s="318">
        <v>544282</v>
      </c>
      <c r="O36" s="318">
        <v>630384</v>
      </c>
      <c r="P36" s="319">
        <v>707848</v>
      </c>
      <c r="Q36" s="320">
        <f t="shared" si="9"/>
        <v>2.9577186351145137</v>
      </c>
      <c r="R36" s="320">
        <f t="shared" si="10"/>
        <v>3.0405448877294976</v>
      </c>
      <c r="S36" s="320">
        <f t="shared" si="11"/>
        <v>3.0388950310870437</v>
      </c>
      <c r="T36" s="320">
        <f t="shared" si="12"/>
        <v>2.4991223750173632</v>
      </c>
      <c r="U36" s="320">
        <f t="shared" si="13"/>
        <v>2.5858886808676385</v>
      </c>
      <c r="V36" s="320">
        <f t="shared" si="14"/>
        <v>4.11019315211046</v>
      </c>
      <c r="W36" s="320">
        <f t="shared" si="15"/>
        <v>4.2825578372757995</v>
      </c>
      <c r="X36" s="320">
        <f t="shared" si="16"/>
        <v>4.2825578372757995</v>
      </c>
    </row>
    <row r="37" spans="1:24" s="269" customFormat="1" ht="16.5" customHeight="1">
      <c r="A37" s="282"/>
      <c r="B37" s="322" t="s">
        <v>190</v>
      </c>
      <c r="C37" s="328">
        <f t="shared" ref="C37:P37" si="17">SUM(C20:C36)</f>
        <v>197365.02849999999</v>
      </c>
      <c r="D37" s="328">
        <f t="shared" si="17"/>
        <v>243235.99339999998</v>
      </c>
      <c r="E37" s="328">
        <f t="shared" si="17"/>
        <v>268581.05070000002</v>
      </c>
      <c r="F37" s="328">
        <f t="shared" si="17"/>
        <v>323111.37</v>
      </c>
      <c r="G37" s="328">
        <f t="shared" si="17"/>
        <v>374430.27325999999</v>
      </c>
      <c r="H37" s="328">
        <f t="shared" si="17"/>
        <v>485464.89840000006</v>
      </c>
      <c r="I37" s="328">
        <f t="shared" si="17"/>
        <v>614604.02099999995</v>
      </c>
      <c r="J37" s="329">
        <f t="shared" si="17"/>
        <v>3944879</v>
      </c>
      <c r="K37" s="329">
        <f t="shared" si="17"/>
        <v>4535440</v>
      </c>
      <c r="L37" s="329">
        <f t="shared" si="17"/>
        <v>5218985</v>
      </c>
      <c r="M37" s="329">
        <f t="shared" si="17"/>
        <v>6241817</v>
      </c>
      <c r="N37" s="329">
        <f t="shared" si="17"/>
        <v>7222939</v>
      </c>
      <c r="O37" s="329">
        <f t="shared" si="17"/>
        <v>8275535</v>
      </c>
      <c r="P37" s="329">
        <f t="shared" si="17"/>
        <v>9546765.3513297364</v>
      </c>
      <c r="Q37" s="320">
        <f t="shared" si="9"/>
        <v>5.0030692576375593</v>
      </c>
      <c r="R37" s="320">
        <f t="shared" si="10"/>
        <v>5.3630076332175047</v>
      </c>
      <c r="S37" s="320">
        <f t="shared" si="11"/>
        <v>5.1462315124492601</v>
      </c>
      <c r="T37" s="320">
        <f t="shared" si="12"/>
        <v>5.1765594858035735</v>
      </c>
      <c r="U37" s="320">
        <f t="shared" si="13"/>
        <v>5.1839046856134319</v>
      </c>
      <c r="V37" s="320">
        <f t="shared" si="14"/>
        <v>5.866266028722011</v>
      </c>
      <c r="W37" s="320">
        <f t="shared" si="15"/>
        <v>6.4378247331112401</v>
      </c>
      <c r="X37" s="320">
        <f t="shared" si="16"/>
        <v>6.4378247331112401</v>
      </c>
    </row>
    <row r="38" spans="1:24" ht="20.25" customHeight="1">
      <c r="A38" s="286"/>
      <c r="B38" s="322" t="s">
        <v>205</v>
      </c>
      <c r="C38" s="328">
        <f t="shared" ref="C38:P38" si="18">+C18+C37</f>
        <v>217173.27839999998</v>
      </c>
      <c r="D38" s="328">
        <f t="shared" si="18"/>
        <v>266735.05979999999</v>
      </c>
      <c r="E38" s="328">
        <f t="shared" si="18"/>
        <v>295673.86554000003</v>
      </c>
      <c r="F38" s="328">
        <f t="shared" si="18"/>
        <v>354436.42</v>
      </c>
      <c r="G38" s="328">
        <f t="shared" si="18"/>
        <v>409559.24566000002</v>
      </c>
      <c r="H38" s="328">
        <f t="shared" si="18"/>
        <v>532516.48170000012</v>
      </c>
      <c r="I38" s="328">
        <f t="shared" si="18"/>
        <v>667565.02102999995</v>
      </c>
      <c r="J38" s="329">
        <f t="shared" si="18"/>
        <v>4180395</v>
      </c>
      <c r="K38" s="329">
        <f t="shared" si="18"/>
        <v>4811855</v>
      </c>
      <c r="L38" s="329">
        <f t="shared" si="18"/>
        <v>5548029</v>
      </c>
      <c r="M38" s="329">
        <f t="shared" si="18"/>
        <v>6624963</v>
      </c>
      <c r="N38" s="329">
        <f t="shared" si="18"/>
        <v>7657728</v>
      </c>
      <c r="O38" s="329">
        <f t="shared" si="18"/>
        <v>8769759</v>
      </c>
      <c r="P38" s="329">
        <f t="shared" si="18"/>
        <v>10120045.567625437</v>
      </c>
      <c r="Q38" s="320">
        <f t="shared" si="9"/>
        <v>5.1950420570304949</v>
      </c>
      <c r="R38" s="320">
        <f t="shared" si="10"/>
        <v>5.5432896419364255</v>
      </c>
      <c r="S38" s="320">
        <f t="shared" si="11"/>
        <v>5.3293496760741519</v>
      </c>
      <c r="T38" s="320">
        <f t="shared" si="12"/>
        <v>5.3500135774343187</v>
      </c>
      <c r="U38" s="320">
        <f t="shared" si="13"/>
        <v>5.3483127849409122</v>
      </c>
      <c r="V38" s="320">
        <f t="shared" si="14"/>
        <v>6.0721906006767137</v>
      </c>
      <c r="W38" s="320">
        <f t="shared" si="15"/>
        <v>6.5964626005793479</v>
      </c>
      <c r="X38" s="320">
        <f t="shared" si="16"/>
        <v>6.5964626005793479</v>
      </c>
    </row>
    <row r="39" spans="1:24" ht="20.25" customHeight="1">
      <c r="A39" s="286"/>
      <c r="B39" s="326" t="s">
        <v>206</v>
      </c>
      <c r="C39" s="330"/>
      <c r="D39" s="330"/>
      <c r="E39" s="330"/>
      <c r="F39" s="330"/>
      <c r="G39" s="330"/>
      <c r="H39" s="330"/>
      <c r="I39" s="330"/>
      <c r="J39" s="331"/>
      <c r="K39" s="332"/>
      <c r="L39" s="285"/>
      <c r="M39" s="285"/>
      <c r="N39" s="285"/>
      <c r="O39" s="285"/>
      <c r="P39" s="285"/>
      <c r="Q39" s="333"/>
      <c r="R39" s="333"/>
      <c r="S39" s="333"/>
      <c r="T39" s="333"/>
      <c r="U39" s="333"/>
      <c r="V39" s="320"/>
      <c r="W39" s="320"/>
      <c r="X39" s="320"/>
    </row>
    <row r="40" spans="1:24" ht="24" customHeight="1">
      <c r="A40" s="315">
        <v>29</v>
      </c>
      <c r="B40" s="316" t="s">
        <v>207</v>
      </c>
      <c r="C40" s="274">
        <v>607.27639999999997</v>
      </c>
      <c r="D40" s="274">
        <v>694.45910000000003</v>
      </c>
      <c r="E40" s="274">
        <v>882.26419999999996</v>
      </c>
      <c r="F40" s="274">
        <v>849.83</v>
      </c>
      <c r="G40" s="274">
        <v>1287.3926999999999</v>
      </c>
      <c r="H40" s="274">
        <v>1701.43</v>
      </c>
      <c r="I40" s="274">
        <v>1867.1</v>
      </c>
      <c r="J40" s="276">
        <v>2990</v>
      </c>
      <c r="K40" s="276">
        <v>3480</v>
      </c>
      <c r="L40" s="334">
        <v>4123</v>
      </c>
      <c r="M40" s="334">
        <v>4553</v>
      </c>
      <c r="N40" s="334">
        <v>5026</v>
      </c>
      <c r="O40" s="335">
        <f>+N40*1.115</f>
        <v>5603.99</v>
      </c>
      <c r="P40" s="336">
        <f>+LOGEST(J40:O40)*O40</f>
        <v>6344.3510343462931</v>
      </c>
      <c r="Q40" s="337">
        <f t="shared" ref="Q40:W41" si="19">+C40/J40*100</f>
        <v>20.310247491638794</v>
      </c>
      <c r="R40" s="337">
        <f t="shared" si="19"/>
        <v>19.955721264367817</v>
      </c>
      <c r="S40" s="337">
        <f t="shared" si="19"/>
        <v>21.398598108173658</v>
      </c>
      <c r="T40" s="337">
        <f t="shared" si="19"/>
        <v>18.665275642433564</v>
      </c>
      <c r="U40" s="337">
        <f t="shared" si="19"/>
        <v>25.614657779546356</v>
      </c>
      <c r="V40" s="337">
        <f t="shared" si="19"/>
        <v>30.361046325921354</v>
      </c>
      <c r="W40" s="337">
        <f t="shared" si="19"/>
        <v>29.429329964437905</v>
      </c>
      <c r="X40" s="337">
        <f>+I40/P40*100</f>
        <v>29.429329964437905</v>
      </c>
    </row>
    <row r="41" spans="1:24" ht="25.5" customHeight="1">
      <c r="A41" s="315">
        <v>30</v>
      </c>
      <c r="B41" s="316" t="s">
        <v>208</v>
      </c>
      <c r="C41" s="274">
        <v>317.20639999999997</v>
      </c>
      <c r="D41" s="274">
        <v>488.53879999999998</v>
      </c>
      <c r="E41" s="274">
        <v>449.1336</v>
      </c>
      <c r="F41" s="274">
        <v>461.31</v>
      </c>
      <c r="G41" s="274">
        <v>635.95629999999994</v>
      </c>
      <c r="H41" s="274">
        <v>620</v>
      </c>
      <c r="I41" s="274">
        <v>876.05</v>
      </c>
      <c r="J41" s="276">
        <v>13669</v>
      </c>
      <c r="K41" s="276">
        <v>15334</v>
      </c>
      <c r="L41" s="334">
        <v>17577</v>
      </c>
      <c r="M41" s="334">
        <v>20493</v>
      </c>
      <c r="N41" s="334">
        <v>23368</v>
      </c>
      <c r="O41" s="335">
        <f>+N41*1.115</f>
        <v>26055.32</v>
      </c>
      <c r="P41" s="336">
        <f>+LOGEST(J41:O41)*O41</f>
        <v>29751.34624292716</v>
      </c>
      <c r="Q41" s="337">
        <f t="shared" si="19"/>
        <v>2.3206262345453212</v>
      </c>
      <c r="R41" s="337">
        <f t="shared" si="19"/>
        <v>3.1859840876483627</v>
      </c>
      <c r="S41" s="337">
        <f t="shared" si="19"/>
        <v>2.5552346816862945</v>
      </c>
      <c r="T41" s="337">
        <f t="shared" si="19"/>
        <v>2.2510613380178599</v>
      </c>
      <c r="U41" s="337">
        <f t="shared" si="19"/>
        <v>2.7214836528586099</v>
      </c>
      <c r="V41" s="337">
        <f t="shared" si="19"/>
        <v>2.3795524292159911</v>
      </c>
      <c r="W41" s="337">
        <f t="shared" si="19"/>
        <v>2.9445726349551822</v>
      </c>
      <c r="X41" s="337">
        <f>+I41/P41*100</f>
        <v>2.9445726349551822</v>
      </c>
    </row>
    <row r="42" spans="1:24" ht="20.25" customHeight="1">
      <c r="A42" s="315">
        <v>31</v>
      </c>
      <c r="B42" s="316" t="s">
        <v>209</v>
      </c>
      <c r="C42" s="274">
        <v>99.981200000000001</v>
      </c>
      <c r="D42" s="274">
        <v>111.00209999999998</v>
      </c>
      <c r="E42" s="274">
        <v>188.6387</v>
      </c>
      <c r="F42" s="274">
        <v>256.95</v>
      </c>
      <c r="G42" s="274">
        <v>334.10470000000004</v>
      </c>
      <c r="H42" s="274">
        <v>607.67999999999995</v>
      </c>
      <c r="I42" s="274">
        <v>674.7</v>
      </c>
      <c r="J42" s="276"/>
      <c r="K42" s="276"/>
      <c r="L42" s="334"/>
      <c r="M42" s="334"/>
      <c r="N42" s="334"/>
      <c r="O42" s="335"/>
      <c r="P42" s="335"/>
      <c r="Q42" s="337"/>
      <c r="R42" s="337"/>
      <c r="S42" s="337"/>
      <c r="T42" s="337"/>
      <c r="U42" s="337"/>
      <c r="V42" s="320"/>
      <c r="W42" s="320"/>
      <c r="X42" s="320"/>
    </row>
    <row r="43" spans="1:24" ht="19.5" customHeight="1">
      <c r="A43" s="315">
        <v>32</v>
      </c>
      <c r="B43" s="316" t="s">
        <v>210</v>
      </c>
      <c r="C43" s="274">
        <v>87.7423</v>
      </c>
      <c r="D43" s="274">
        <v>104.72129999999999</v>
      </c>
      <c r="E43" s="274">
        <v>164.96560000000002</v>
      </c>
      <c r="F43" s="274">
        <v>166.66</v>
      </c>
      <c r="G43" s="274">
        <v>324.79660000000001</v>
      </c>
      <c r="H43" s="274">
        <v>568.25</v>
      </c>
      <c r="I43" s="274">
        <v>630.04999999999995</v>
      </c>
      <c r="J43" s="276"/>
      <c r="K43" s="276"/>
      <c r="L43" s="334"/>
      <c r="M43" s="334"/>
      <c r="N43" s="334"/>
      <c r="O43" s="335"/>
      <c r="P43" s="335"/>
      <c r="Q43" s="337"/>
      <c r="R43" s="337"/>
      <c r="S43" s="337"/>
      <c r="T43" s="337"/>
      <c r="U43" s="337"/>
      <c r="V43" s="320"/>
      <c r="W43" s="320"/>
      <c r="X43" s="320"/>
    </row>
    <row r="44" spans="1:24" ht="21" customHeight="1">
      <c r="A44" s="315">
        <v>29</v>
      </c>
      <c r="B44" s="316" t="s">
        <v>211</v>
      </c>
      <c r="C44" s="274">
        <v>8747.427099999999</v>
      </c>
      <c r="D44" s="274">
        <v>9619.5153000000009</v>
      </c>
      <c r="E44" s="274">
        <v>11048.1445</v>
      </c>
      <c r="F44" s="274">
        <v>10490.81</v>
      </c>
      <c r="G44" s="274">
        <v>13575.529900000001</v>
      </c>
      <c r="H44" s="274">
        <v>15862</v>
      </c>
      <c r="I44" s="274">
        <v>16625.95</v>
      </c>
      <c r="J44" s="338">
        <v>157947</v>
      </c>
      <c r="K44" s="338">
        <v>189533</v>
      </c>
      <c r="L44" s="339">
        <v>217619</v>
      </c>
      <c r="M44" s="339">
        <v>252753</v>
      </c>
      <c r="N44" s="339">
        <v>296957</v>
      </c>
      <c r="O44" s="340">
        <v>348221</v>
      </c>
      <c r="P44" s="336">
        <v>21500</v>
      </c>
      <c r="Q44" s="337">
        <f t="shared" ref="Q44:W44" si="20">+C44/J44*100</f>
        <v>5.53820401780344</v>
      </c>
      <c r="R44" s="337">
        <f t="shared" si="20"/>
        <v>5.0753775332000233</v>
      </c>
      <c r="S44" s="337">
        <f t="shared" si="20"/>
        <v>5.0768289993061266</v>
      </c>
      <c r="T44" s="337">
        <f t="shared" si="20"/>
        <v>4.1506174011782253</v>
      </c>
      <c r="U44" s="337">
        <f t="shared" si="20"/>
        <v>4.5715473620759912</v>
      </c>
      <c r="V44" s="320">
        <f t="shared" si="20"/>
        <v>4.5551531929435622</v>
      </c>
      <c r="W44" s="320">
        <f t="shared" si="20"/>
        <v>77.33</v>
      </c>
      <c r="X44" s="320">
        <f>+I44/P44*100</f>
        <v>77.33</v>
      </c>
    </row>
    <row r="45" spans="1:24" ht="16.5" customHeight="1">
      <c r="A45" s="315">
        <v>34</v>
      </c>
      <c r="B45" s="316" t="s">
        <v>212</v>
      </c>
      <c r="C45" s="274">
        <v>219.6148</v>
      </c>
      <c r="D45" s="274">
        <v>268.75650000000002</v>
      </c>
      <c r="E45" s="274">
        <v>265.87180000000001</v>
      </c>
      <c r="F45" s="274">
        <v>321.88</v>
      </c>
      <c r="G45" s="274">
        <v>375.60200000000003</v>
      </c>
      <c r="H45" s="274">
        <v>249.39</v>
      </c>
      <c r="I45" s="274">
        <v>442.33</v>
      </c>
      <c r="J45" s="276"/>
      <c r="K45" s="276"/>
      <c r="L45" s="334"/>
      <c r="M45" s="334"/>
      <c r="N45" s="334"/>
      <c r="O45" s="335"/>
      <c r="P45" s="335"/>
      <c r="Q45" s="337"/>
      <c r="R45" s="337"/>
      <c r="S45" s="337"/>
      <c r="T45" s="337"/>
      <c r="U45" s="337"/>
      <c r="V45" s="320"/>
      <c r="W45" s="320" t="e">
        <f>+I45/P45*100</f>
        <v>#DIV/0!</v>
      </c>
      <c r="X45" s="320"/>
    </row>
    <row r="46" spans="1:24" ht="16.5" customHeight="1">
      <c r="A46" s="315">
        <v>30</v>
      </c>
      <c r="B46" s="316" t="s">
        <v>44</v>
      </c>
      <c r="C46" s="274">
        <v>1086.7253000000001</v>
      </c>
      <c r="D46" s="274">
        <v>1060.7583999999999</v>
      </c>
      <c r="E46" s="274">
        <v>1449.9279999999999</v>
      </c>
      <c r="F46" s="274">
        <v>1562.5</v>
      </c>
      <c r="G46" s="274">
        <v>1602.8970999999999</v>
      </c>
      <c r="H46" s="274">
        <v>1392</v>
      </c>
      <c r="I46" s="274">
        <v>2000</v>
      </c>
      <c r="J46" s="276">
        <v>9251</v>
      </c>
      <c r="K46" s="276">
        <v>10050</v>
      </c>
      <c r="L46" s="334">
        <v>12304</v>
      </c>
      <c r="M46" s="334">
        <v>13667</v>
      </c>
      <c r="N46" s="334">
        <v>14081</v>
      </c>
      <c r="O46" s="334">
        <v>14508</v>
      </c>
      <c r="P46" s="340">
        <v>21500</v>
      </c>
      <c r="Q46" s="337">
        <f t="shared" ref="Q46:V48" si="21">+C46/J46*100</f>
        <v>11.747111663603937</v>
      </c>
      <c r="R46" s="337">
        <f t="shared" si="21"/>
        <v>10.554809950248757</v>
      </c>
      <c r="S46" s="337">
        <f t="shared" si="21"/>
        <v>11.784200260078022</v>
      </c>
      <c r="T46" s="337">
        <f t="shared" si="21"/>
        <v>11.432647984195507</v>
      </c>
      <c r="U46" s="337">
        <f t="shared" si="21"/>
        <v>11.383403877565513</v>
      </c>
      <c r="V46" s="320">
        <f t="shared" si="21"/>
        <v>9.5947063688999172</v>
      </c>
      <c r="W46" s="320">
        <f>+I46/P46*100</f>
        <v>9.3023255813953494</v>
      </c>
      <c r="X46" s="320">
        <f>+I46/P46*100</f>
        <v>9.3023255813953494</v>
      </c>
    </row>
    <row r="47" spans="1:24" ht="22.5" customHeight="1">
      <c r="A47" s="291"/>
      <c r="B47" s="322" t="s">
        <v>213</v>
      </c>
      <c r="C47" s="284">
        <f t="shared" ref="C47:P47" si="22">SUM(C40:C46)</f>
        <v>11165.973499999998</v>
      </c>
      <c r="D47" s="284">
        <f t="shared" si="22"/>
        <v>12347.7515</v>
      </c>
      <c r="E47" s="284">
        <f t="shared" si="22"/>
        <v>14448.946400000001</v>
      </c>
      <c r="F47" s="284">
        <f t="shared" si="22"/>
        <v>14109.939999999999</v>
      </c>
      <c r="G47" s="284">
        <f t="shared" si="22"/>
        <v>18136.279299999998</v>
      </c>
      <c r="H47" s="284">
        <f t="shared" si="22"/>
        <v>21000.75</v>
      </c>
      <c r="I47" s="284">
        <f t="shared" si="22"/>
        <v>23116.18</v>
      </c>
      <c r="J47" s="285">
        <f t="shared" si="22"/>
        <v>183857</v>
      </c>
      <c r="K47" s="285">
        <f t="shared" si="22"/>
        <v>218397</v>
      </c>
      <c r="L47" s="341">
        <f t="shared" si="22"/>
        <v>251623</v>
      </c>
      <c r="M47" s="341">
        <f t="shared" si="22"/>
        <v>291466</v>
      </c>
      <c r="N47" s="341">
        <f t="shared" si="22"/>
        <v>339432</v>
      </c>
      <c r="O47" s="341">
        <f t="shared" si="22"/>
        <v>394388.31</v>
      </c>
      <c r="P47" s="341">
        <f t="shared" si="22"/>
        <v>79095.697277273459</v>
      </c>
      <c r="Q47" s="337">
        <f t="shared" si="21"/>
        <v>6.0731837786975742</v>
      </c>
      <c r="R47" s="337">
        <f t="shared" si="21"/>
        <v>5.6538100340206139</v>
      </c>
      <c r="S47" s="337">
        <f t="shared" si="21"/>
        <v>5.7422995513128772</v>
      </c>
      <c r="T47" s="337">
        <f t="shared" si="21"/>
        <v>4.8410243390309668</v>
      </c>
      <c r="U47" s="337">
        <f t="shared" si="21"/>
        <v>5.3431259574819103</v>
      </c>
      <c r="V47" s="320">
        <f t="shared" si="21"/>
        <v>5.3248916023905473</v>
      </c>
      <c r="W47" s="320">
        <f>+I47/P47*100</f>
        <v>29.225584697692479</v>
      </c>
      <c r="X47" s="320">
        <f>+I47/P47*100</f>
        <v>29.225584697692479</v>
      </c>
    </row>
    <row r="48" spans="1:24" ht="22.5" customHeight="1">
      <c r="A48" s="291"/>
      <c r="B48" s="322" t="s">
        <v>214</v>
      </c>
      <c r="C48" s="284">
        <f t="shared" ref="C48:P48" si="23">+C38+C47</f>
        <v>228339.25189999997</v>
      </c>
      <c r="D48" s="284">
        <f t="shared" si="23"/>
        <v>279082.8113</v>
      </c>
      <c r="E48" s="284">
        <f t="shared" si="23"/>
        <v>310122.81194000004</v>
      </c>
      <c r="F48" s="284">
        <f t="shared" si="23"/>
        <v>368546.36</v>
      </c>
      <c r="G48" s="284">
        <f t="shared" si="23"/>
        <v>427695.52496000001</v>
      </c>
      <c r="H48" s="284">
        <f t="shared" si="23"/>
        <v>553517.23170000012</v>
      </c>
      <c r="I48" s="284">
        <f t="shared" si="23"/>
        <v>690681.20103</v>
      </c>
      <c r="J48" s="285">
        <f t="shared" si="23"/>
        <v>4364252</v>
      </c>
      <c r="K48" s="285">
        <f t="shared" si="23"/>
        <v>5030252</v>
      </c>
      <c r="L48" s="341">
        <f t="shared" si="23"/>
        <v>5799652</v>
      </c>
      <c r="M48" s="341">
        <f t="shared" si="23"/>
        <v>6916429</v>
      </c>
      <c r="N48" s="341">
        <f t="shared" si="23"/>
        <v>7997160</v>
      </c>
      <c r="O48" s="341">
        <f t="shared" si="23"/>
        <v>9164147.3100000005</v>
      </c>
      <c r="P48" s="341">
        <f t="shared" si="23"/>
        <v>10199141.264902711</v>
      </c>
      <c r="Q48" s="337">
        <f t="shared" si="21"/>
        <v>5.232036369577191</v>
      </c>
      <c r="R48" s="337">
        <f t="shared" si="21"/>
        <v>5.5480880739175689</v>
      </c>
      <c r="S48" s="337">
        <f t="shared" si="21"/>
        <v>5.3472658694004407</v>
      </c>
      <c r="T48" s="337">
        <f t="shared" si="21"/>
        <v>5.3285642056037874</v>
      </c>
      <c r="U48" s="337">
        <f t="shared" si="21"/>
        <v>5.3480926348853846</v>
      </c>
      <c r="V48" s="320">
        <f t="shared" si="21"/>
        <v>6.040029835574523</v>
      </c>
      <c r="W48" s="320">
        <f>+I48/P48*100</f>
        <v>6.7719544527417463</v>
      </c>
      <c r="X48" s="320">
        <f>+I48/P48*100</f>
        <v>6.7719544527417463</v>
      </c>
    </row>
    <row r="49" spans="1:14">
      <c r="A49" s="259"/>
      <c r="B49" s="303"/>
      <c r="C49" s="259"/>
      <c r="D49" s="259"/>
      <c r="E49" s="259"/>
      <c r="F49" s="259"/>
      <c r="G49" s="259"/>
      <c r="H49" s="259"/>
      <c r="I49" s="259"/>
      <c r="K49" s="342"/>
      <c r="L49" s="342"/>
      <c r="M49" s="342"/>
      <c r="N49" s="342"/>
    </row>
    <row r="50" spans="1:14">
      <c r="A50" s="259"/>
      <c r="B50" s="303"/>
      <c r="C50" s="259"/>
      <c r="D50" s="259"/>
      <c r="E50" s="259"/>
      <c r="F50" s="259"/>
      <c r="G50" s="259"/>
      <c r="H50" s="259"/>
      <c r="I50" s="259"/>
    </row>
    <row r="51" spans="1:14">
      <c r="A51" s="259"/>
      <c r="B51" s="303"/>
      <c r="C51" s="259"/>
      <c r="D51" s="259"/>
      <c r="E51" s="259"/>
      <c r="F51" s="259"/>
      <c r="G51" s="259"/>
      <c r="H51" s="259"/>
      <c r="I51" s="259"/>
    </row>
    <row r="52" spans="1:14">
      <c r="A52" s="259"/>
      <c r="B52" s="303"/>
      <c r="C52" s="259"/>
      <c r="D52" s="259"/>
      <c r="E52" s="259"/>
      <c r="F52" s="259"/>
      <c r="G52" s="259"/>
      <c r="H52" s="259"/>
      <c r="I52" s="259"/>
    </row>
    <row r="53" spans="1:14">
      <c r="A53" s="259"/>
      <c r="B53" s="303"/>
      <c r="C53" s="259"/>
      <c r="D53" s="259"/>
      <c r="E53" s="259"/>
      <c r="F53" s="259"/>
      <c r="G53" s="259"/>
      <c r="H53" s="259"/>
      <c r="I53" s="259"/>
    </row>
    <row r="54" spans="1:14">
      <c r="A54" s="259"/>
      <c r="B54" s="303"/>
      <c r="C54" s="259"/>
      <c r="D54" s="259"/>
      <c r="E54" s="259"/>
      <c r="F54" s="259"/>
      <c r="G54" s="259"/>
      <c r="H54" s="259"/>
      <c r="I54" s="259"/>
    </row>
    <row r="55" spans="1:14">
      <c r="A55" s="259"/>
      <c r="B55" s="303"/>
      <c r="C55" s="259"/>
      <c r="D55" s="259"/>
      <c r="E55" s="259"/>
      <c r="F55" s="259"/>
      <c r="G55" s="259"/>
      <c r="H55" s="259"/>
      <c r="I55" s="259"/>
    </row>
    <row r="56" spans="1:14">
      <c r="A56" s="259"/>
      <c r="B56" s="303"/>
      <c r="C56" s="259"/>
      <c r="D56" s="259"/>
      <c r="E56" s="259"/>
      <c r="F56" s="259"/>
      <c r="G56" s="259"/>
      <c r="H56" s="259"/>
      <c r="I56" s="259"/>
    </row>
    <row r="57" spans="1:14">
      <c r="A57" s="259"/>
      <c r="B57" s="303"/>
      <c r="C57" s="259"/>
      <c r="D57" s="259"/>
      <c r="E57" s="259"/>
      <c r="F57" s="259"/>
      <c r="G57" s="259"/>
      <c r="H57" s="259"/>
      <c r="I57" s="259"/>
    </row>
    <row r="58" spans="1:14">
      <c r="A58" s="259"/>
      <c r="B58" s="303"/>
      <c r="C58" s="259"/>
      <c r="D58" s="259"/>
      <c r="E58" s="259"/>
      <c r="F58" s="259"/>
      <c r="G58" s="259"/>
      <c r="H58" s="259"/>
      <c r="I58" s="259"/>
    </row>
    <row r="59" spans="1:14">
      <c r="A59" s="259"/>
      <c r="B59" s="303"/>
      <c r="C59" s="259"/>
      <c r="D59" s="259"/>
      <c r="E59" s="259"/>
      <c r="F59" s="259"/>
      <c r="G59" s="259"/>
      <c r="H59" s="259"/>
      <c r="I59" s="259"/>
    </row>
    <row r="60" spans="1:14">
      <c r="A60" s="259"/>
      <c r="B60" s="303"/>
      <c r="C60" s="259"/>
      <c r="D60" s="259"/>
      <c r="E60" s="259"/>
      <c r="F60" s="259"/>
      <c r="G60" s="259"/>
      <c r="H60" s="259"/>
      <c r="I60" s="259"/>
    </row>
    <row r="61" spans="1:14">
      <c r="A61" s="259"/>
      <c r="B61" s="303"/>
      <c r="C61" s="259"/>
      <c r="D61" s="259"/>
      <c r="E61" s="259"/>
      <c r="F61" s="259"/>
      <c r="G61" s="259"/>
      <c r="H61" s="259"/>
      <c r="I61" s="259"/>
    </row>
    <row r="62" spans="1:14">
      <c r="A62" s="259"/>
      <c r="B62" s="303"/>
      <c r="C62" s="259"/>
      <c r="D62" s="259"/>
      <c r="E62" s="259"/>
      <c r="F62" s="259"/>
      <c r="G62" s="259"/>
      <c r="H62" s="259"/>
      <c r="I62" s="259"/>
    </row>
    <row r="63" spans="1:14">
      <c r="A63" s="259"/>
      <c r="B63" s="303"/>
      <c r="C63" s="259"/>
      <c r="D63" s="259"/>
      <c r="E63" s="259"/>
      <c r="F63" s="259"/>
      <c r="G63" s="259"/>
      <c r="H63" s="259"/>
      <c r="I63" s="259"/>
    </row>
    <row r="64" spans="1:14">
      <c r="A64" s="259"/>
      <c r="B64" s="303"/>
      <c r="C64" s="259"/>
      <c r="D64" s="259"/>
      <c r="E64" s="259"/>
      <c r="F64" s="259"/>
      <c r="G64" s="259"/>
      <c r="H64" s="259"/>
      <c r="I64" s="259"/>
    </row>
    <row r="65" spans="1:9">
      <c r="A65" s="259"/>
      <c r="B65" s="303"/>
      <c r="C65" s="259"/>
      <c r="D65" s="259"/>
      <c r="E65" s="259"/>
      <c r="F65" s="259"/>
      <c r="G65" s="259"/>
      <c r="H65" s="259"/>
      <c r="I65" s="259"/>
    </row>
    <row r="66" spans="1:9">
      <c r="A66" s="259"/>
      <c r="B66" s="303"/>
      <c r="C66" s="259"/>
      <c r="D66" s="259"/>
      <c r="E66" s="259"/>
      <c r="F66" s="259"/>
      <c r="G66" s="259"/>
      <c r="H66" s="259"/>
      <c r="I66" s="259"/>
    </row>
    <row r="67" spans="1:9">
      <c r="A67" s="259"/>
      <c r="B67" s="303"/>
      <c r="C67" s="259"/>
      <c r="D67" s="259"/>
      <c r="E67" s="259"/>
      <c r="F67" s="259"/>
      <c r="G67" s="259"/>
      <c r="H67" s="259"/>
      <c r="I67" s="259"/>
    </row>
    <row r="68" spans="1:9">
      <c r="A68" s="259"/>
      <c r="B68" s="303"/>
      <c r="C68" s="259"/>
      <c r="D68" s="259"/>
      <c r="E68" s="259"/>
      <c r="F68" s="259"/>
      <c r="G68" s="259"/>
      <c r="H68" s="259"/>
      <c r="I68" s="259"/>
    </row>
    <row r="69" spans="1:9">
      <c r="A69" s="259"/>
      <c r="B69" s="303"/>
      <c r="C69" s="259"/>
      <c r="D69" s="259"/>
      <c r="E69" s="259"/>
      <c r="F69" s="259"/>
      <c r="G69" s="259"/>
      <c r="H69" s="259"/>
      <c r="I69" s="259"/>
    </row>
    <row r="70" spans="1:9">
      <c r="A70" s="259"/>
      <c r="B70" s="303"/>
      <c r="C70" s="259"/>
      <c r="D70" s="259"/>
      <c r="E70" s="259"/>
      <c r="F70" s="259"/>
      <c r="G70" s="259"/>
      <c r="H70" s="259"/>
      <c r="I70" s="259"/>
    </row>
    <row r="71" spans="1:9">
      <c r="A71" s="259"/>
      <c r="B71" s="303"/>
      <c r="C71" s="259"/>
      <c r="D71" s="259"/>
      <c r="E71" s="259"/>
      <c r="F71" s="259"/>
      <c r="G71" s="259"/>
      <c r="H71" s="259"/>
      <c r="I71" s="259"/>
    </row>
    <row r="72" spans="1:9">
      <c r="A72" s="259"/>
      <c r="B72" s="303"/>
      <c r="C72" s="259"/>
      <c r="D72" s="259"/>
      <c r="E72" s="259"/>
      <c r="F72" s="259"/>
      <c r="G72" s="259"/>
      <c r="H72" s="259"/>
      <c r="I72" s="259"/>
    </row>
    <row r="73" spans="1:9">
      <c r="A73" s="259"/>
      <c r="B73" s="303"/>
      <c r="C73" s="259"/>
      <c r="D73" s="259"/>
      <c r="E73" s="259"/>
      <c r="F73" s="259"/>
      <c r="G73" s="259"/>
      <c r="H73" s="259"/>
      <c r="I73" s="259"/>
    </row>
    <row r="74" spans="1:9">
      <c r="A74" s="259"/>
      <c r="B74" s="303"/>
      <c r="C74" s="259"/>
      <c r="D74" s="259"/>
      <c r="E74" s="259"/>
      <c r="F74" s="259"/>
      <c r="G74" s="259"/>
      <c r="H74" s="259"/>
      <c r="I74" s="259"/>
    </row>
    <row r="75" spans="1:9">
      <c r="A75" s="259"/>
      <c r="B75" s="303"/>
      <c r="C75" s="259"/>
      <c r="D75" s="259"/>
      <c r="E75" s="259"/>
      <c r="F75" s="259"/>
      <c r="G75" s="259"/>
      <c r="H75" s="259"/>
      <c r="I75" s="259"/>
    </row>
    <row r="76" spans="1:9">
      <c r="A76" s="259"/>
      <c r="B76" s="303"/>
      <c r="C76" s="259"/>
      <c r="D76" s="259"/>
      <c r="E76" s="259"/>
      <c r="F76" s="259"/>
      <c r="G76" s="259"/>
      <c r="H76" s="259"/>
      <c r="I76" s="259"/>
    </row>
    <row r="77" spans="1:9">
      <c r="A77" s="259"/>
      <c r="B77" s="303"/>
      <c r="C77" s="259"/>
      <c r="D77" s="259"/>
      <c r="E77" s="259"/>
      <c r="F77" s="259"/>
      <c r="G77" s="259"/>
      <c r="H77" s="259"/>
      <c r="I77" s="259"/>
    </row>
    <row r="78" spans="1:9">
      <c r="A78" s="259"/>
      <c r="B78" s="303"/>
      <c r="C78" s="259"/>
      <c r="D78" s="259"/>
      <c r="E78" s="259"/>
      <c r="F78" s="259"/>
      <c r="G78" s="259"/>
      <c r="H78" s="259"/>
      <c r="I78" s="259"/>
    </row>
    <row r="79" spans="1:9">
      <c r="A79" s="259"/>
      <c r="B79" s="303"/>
      <c r="C79" s="259"/>
      <c r="D79" s="259"/>
      <c r="E79" s="259"/>
      <c r="F79" s="259"/>
      <c r="G79" s="259"/>
      <c r="H79" s="259"/>
      <c r="I79" s="259"/>
    </row>
    <row r="80" spans="1:9">
      <c r="A80" s="259"/>
      <c r="B80" s="303"/>
      <c r="C80" s="259"/>
      <c r="D80" s="259"/>
      <c r="E80" s="259"/>
      <c r="F80" s="259"/>
      <c r="G80" s="259"/>
      <c r="H80" s="259"/>
      <c r="I80" s="259"/>
    </row>
    <row r="81" spans="1:9">
      <c r="A81" s="259"/>
      <c r="B81" s="303"/>
      <c r="C81" s="259"/>
      <c r="D81" s="259"/>
      <c r="E81" s="259"/>
      <c r="F81" s="259"/>
      <c r="G81" s="259"/>
      <c r="H81" s="259"/>
      <c r="I81" s="259"/>
    </row>
    <row r="82" spans="1:9">
      <c r="A82" s="259"/>
      <c r="B82" s="303"/>
      <c r="C82" s="259"/>
      <c r="D82" s="259"/>
      <c r="E82" s="259"/>
      <c r="F82" s="259"/>
      <c r="G82" s="259"/>
      <c r="H82" s="259"/>
      <c r="I82" s="259"/>
    </row>
    <row r="83" spans="1:9">
      <c r="A83" s="259"/>
      <c r="B83" s="303"/>
      <c r="C83" s="259"/>
      <c r="D83" s="259"/>
      <c r="E83" s="259"/>
      <c r="F83" s="259"/>
      <c r="G83" s="259"/>
      <c r="H83" s="259"/>
      <c r="I83" s="259"/>
    </row>
    <row r="84" spans="1:9">
      <c r="A84" s="259"/>
      <c r="B84" s="303"/>
      <c r="C84" s="259"/>
      <c r="D84" s="259"/>
      <c r="E84" s="259"/>
      <c r="F84" s="259"/>
      <c r="G84" s="259"/>
      <c r="H84" s="259"/>
      <c r="I84" s="259"/>
    </row>
    <row r="85" spans="1:9">
      <c r="A85" s="259"/>
      <c r="B85" s="303"/>
      <c r="C85" s="259"/>
      <c r="D85" s="259"/>
      <c r="E85" s="259"/>
      <c r="F85" s="259"/>
      <c r="G85" s="259"/>
      <c r="H85" s="259"/>
      <c r="I85" s="259"/>
    </row>
    <row r="86" spans="1:9">
      <c r="A86" s="259"/>
      <c r="B86" s="303"/>
      <c r="C86" s="259"/>
      <c r="D86" s="259"/>
      <c r="E86" s="259"/>
      <c r="F86" s="259"/>
      <c r="G86" s="259"/>
      <c r="H86" s="259"/>
      <c r="I86" s="259"/>
    </row>
    <row r="87" spans="1:9">
      <c r="A87" s="259"/>
      <c r="B87" s="303"/>
      <c r="C87" s="259"/>
      <c r="D87" s="259"/>
      <c r="E87" s="259"/>
      <c r="F87" s="259"/>
      <c r="G87" s="259"/>
      <c r="H87" s="259"/>
      <c r="I87" s="259"/>
    </row>
    <row r="88" spans="1:9">
      <c r="A88" s="259"/>
      <c r="B88" s="303"/>
      <c r="C88" s="259"/>
      <c r="D88" s="259"/>
      <c r="E88" s="259"/>
      <c r="F88" s="259"/>
      <c r="G88" s="259"/>
      <c r="H88" s="259"/>
      <c r="I88" s="259"/>
    </row>
    <row r="89" spans="1:9">
      <c r="A89" s="259"/>
      <c r="B89" s="303"/>
      <c r="C89" s="259"/>
      <c r="D89" s="259"/>
      <c r="E89" s="259"/>
      <c r="F89" s="259"/>
      <c r="G89" s="259"/>
      <c r="H89" s="259"/>
      <c r="I89" s="259"/>
    </row>
    <row r="90" spans="1:9">
      <c r="A90" s="259"/>
      <c r="B90" s="303"/>
      <c r="C90" s="259"/>
      <c r="D90" s="259"/>
      <c r="E90" s="259"/>
      <c r="F90" s="259"/>
      <c r="G90" s="259"/>
      <c r="H90" s="259"/>
      <c r="I90" s="259"/>
    </row>
    <row r="91" spans="1:9">
      <c r="A91" s="259"/>
      <c r="B91" s="303"/>
      <c r="C91" s="259"/>
      <c r="D91" s="259"/>
      <c r="E91" s="259"/>
      <c r="F91" s="259"/>
      <c r="G91" s="259"/>
      <c r="H91" s="259"/>
      <c r="I91" s="259"/>
    </row>
    <row r="92" spans="1:9">
      <c r="A92" s="259"/>
      <c r="B92" s="303"/>
      <c r="C92" s="259"/>
      <c r="D92" s="259"/>
      <c r="E92" s="259"/>
      <c r="F92" s="259"/>
      <c r="G92" s="259"/>
      <c r="H92" s="259"/>
      <c r="I92" s="259"/>
    </row>
    <row r="93" spans="1:9">
      <c r="A93" s="259"/>
      <c r="B93" s="303"/>
      <c r="C93" s="259"/>
      <c r="D93" s="259"/>
      <c r="E93" s="259"/>
      <c r="F93" s="259"/>
      <c r="G93" s="259"/>
      <c r="H93" s="259"/>
      <c r="I93" s="259"/>
    </row>
    <row r="94" spans="1:9">
      <c r="A94" s="259"/>
      <c r="B94" s="303"/>
      <c r="C94" s="259"/>
      <c r="D94" s="259"/>
      <c r="E94" s="259"/>
      <c r="F94" s="259"/>
      <c r="G94" s="259"/>
      <c r="H94" s="259"/>
      <c r="I94" s="259"/>
    </row>
    <row r="95" spans="1:9">
      <c r="A95" s="259"/>
      <c r="B95" s="303"/>
      <c r="C95" s="259"/>
      <c r="D95" s="259"/>
      <c r="E95" s="259"/>
      <c r="F95" s="259"/>
      <c r="G95" s="259"/>
      <c r="H95" s="259"/>
      <c r="I95" s="259"/>
    </row>
    <row r="96" spans="1:9">
      <c r="A96" s="259"/>
      <c r="B96" s="303"/>
      <c r="C96" s="259"/>
      <c r="D96" s="259"/>
      <c r="E96" s="259"/>
      <c r="F96" s="259"/>
      <c r="G96" s="259"/>
      <c r="H96" s="259"/>
      <c r="I96" s="259"/>
    </row>
    <row r="97" spans="1:9">
      <c r="A97" s="259"/>
      <c r="B97" s="303"/>
      <c r="C97" s="259"/>
      <c r="D97" s="259"/>
      <c r="E97" s="259"/>
      <c r="F97" s="259"/>
      <c r="G97" s="259"/>
      <c r="H97" s="259"/>
      <c r="I97" s="259"/>
    </row>
    <row r="98" spans="1:9">
      <c r="A98" s="259"/>
      <c r="B98" s="303"/>
      <c r="C98" s="259"/>
      <c r="D98" s="259"/>
      <c r="E98" s="259"/>
      <c r="F98" s="259"/>
      <c r="G98" s="259"/>
      <c r="H98" s="259"/>
      <c r="I98" s="259"/>
    </row>
    <row r="99" spans="1:9">
      <c r="A99" s="259"/>
      <c r="B99" s="303"/>
      <c r="C99" s="259"/>
      <c r="D99" s="259"/>
      <c r="E99" s="259"/>
      <c r="F99" s="259"/>
      <c r="G99" s="259"/>
      <c r="H99" s="259"/>
      <c r="I99" s="259"/>
    </row>
    <row r="100" spans="1:9">
      <c r="A100" s="259"/>
      <c r="B100" s="303"/>
      <c r="C100" s="259"/>
      <c r="D100" s="259"/>
      <c r="E100" s="259"/>
      <c r="F100" s="259"/>
      <c r="G100" s="259"/>
      <c r="H100" s="259"/>
      <c r="I100" s="259"/>
    </row>
    <row r="101" spans="1:9">
      <c r="A101" s="259"/>
      <c r="B101" s="303"/>
      <c r="C101" s="259"/>
      <c r="D101" s="259"/>
      <c r="E101" s="259"/>
      <c r="F101" s="259"/>
      <c r="G101" s="259"/>
      <c r="H101" s="259"/>
      <c r="I101" s="259"/>
    </row>
    <row r="102" spans="1:9">
      <c r="A102" s="259"/>
      <c r="B102" s="303"/>
      <c r="C102" s="259"/>
      <c r="D102" s="259"/>
      <c r="E102" s="259"/>
      <c r="F102" s="259"/>
      <c r="G102" s="259"/>
      <c r="H102" s="259"/>
      <c r="I102" s="259"/>
    </row>
    <row r="103" spans="1:9">
      <c r="A103" s="259"/>
      <c r="B103" s="303"/>
      <c r="C103" s="259"/>
      <c r="D103" s="259"/>
      <c r="E103" s="259"/>
      <c r="F103" s="259"/>
      <c r="G103" s="259"/>
      <c r="H103" s="259"/>
      <c r="I103" s="259"/>
    </row>
    <row r="104" spans="1:9">
      <c r="A104" s="259"/>
      <c r="B104" s="303"/>
      <c r="C104" s="259"/>
      <c r="D104" s="259"/>
      <c r="E104" s="259"/>
      <c r="F104" s="259"/>
      <c r="G104" s="259"/>
      <c r="H104" s="259"/>
      <c r="I104" s="259"/>
    </row>
    <row r="105" spans="1:9">
      <c r="A105" s="259"/>
      <c r="B105" s="303"/>
      <c r="C105" s="259"/>
      <c r="D105" s="259"/>
      <c r="E105" s="259"/>
      <c r="F105" s="259"/>
      <c r="G105" s="259"/>
      <c r="H105" s="259"/>
      <c r="I105" s="259"/>
    </row>
    <row r="106" spans="1:9">
      <c r="A106" s="259"/>
      <c r="B106" s="303"/>
      <c r="C106" s="259"/>
      <c r="D106" s="259"/>
      <c r="E106" s="259"/>
      <c r="F106" s="259"/>
      <c r="G106" s="259"/>
      <c r="H106" s="259"/>
      <c r="I106" s="259"/>
    </row>
    <row r="107" spans="1:9">
      <c r="A107" s="259"/>
      <c r="B107" s="303"/>
      <c r="C107" s="259"/>
      <c r="D107" s="259"/>
      <c r="E107" s="259"/>
      <c r="F107" s="259"/>
      <c r="G107" s="259"/>
      <c r="H107" s="259"/>
      <c r="I107" s="259"/>
    </row>
    <row r="108" spans="1:9">
      <c r="A108" s="259"/>
      <c r="B108" s="303"/>
      <c r="C108" s="259"/>
      <c r="D108" s="259"/>
      <c r="E108" s="259"/>
      <c r="F108" s="259"/>
      <c r="G108" s="259"/>
      <c r="H108" s="259"/>
      <c r="I108" s="259"/>
    </row>
    <row r="109" spans="1:9">
      <c r="A109" s="259"/>
      <c r="B109" s="303"/>
      <c r="C109" s="259"/>
      <c r="D109" s="259"/>
      <c r="E109" s="259"/>
      <c r="F109" s="259"/>
      <c r="G109" s="259"/>
      <c r="H109" s="259"/>
      <c r="I109" s="259"/>
    </row>
    <row r="110" spans="1:9">
      <c r="A110" s="259"/>
      <c r="B110" s="303"/>
      <c r="C110" s="259"/>
      <c r="D110" s="259"/>
      <c r="E110" s="259"/>
      <c r="F110" s="259"/>
      <c r="G110" s="259"/>
      <c r="H110" s="259"/>
      <c r="I110" s="259"/>
    </row>
    <row r="111" spans="1:9">
      <c r="A111" s="259"/>
      <c r="B111" s="303"/>
      <c r="C111" s="259"/>
      <c r="D111" s="259"/>
      <c r="E111" s="259"/>
      <c r="F111" s="259"/>
      <c r="G111" s="259"/>
      <c r="H111" s="259"/>
      <c r="I111" s="259"/>
    </row>
    <row r="112" spans="1:9">
      <c r="A112" s="259"/>
      <c r="B112" s="303"/>
      <c r="C112" s="259"/>
      <c r="D112" s="259"/>
      <c r="E112" s="259"/>
      <c r="F112" s="259"/>
      <c r="G112" s="259"/>
      <c r="H112" s="259"/>
      <c r="I112" s="259"/>
    </row>
    <row r="113" spans="1:9">
      <c r="A113" s="259"/>
      <c r="B113" s="303"/>
      <c r="C113" s="259"/>
      <c r="D113" s="259"/>
      <c r="E113" s="259"/>
      <c r="F113" s="259"/>
      <c r="G113" s="259"/>
      <c r="H113" s="259"/>
      <c r="I113" s="259"/>
    </row>
    <row r="114" spans="1:9">
      <c r="A114" s="259"/>
      <c r="B114" s="303"/>
      <c r="C114" s="259"/>
      <c r="D114" s="259"/>
      <c r="E114" s="259"/>
      <c r="F114" s="259"/>
      <c r="G114" s="259"/>
      <c r="H114" s="259"/>
      <c r="I114" s="259"/>
    </row>
    <row r="115" spans="1:9">
      <c r="A115" s="259"/>
      <c r="B115" s="303"/>
      <c r="C115" s="259"/>
      <c r="D115" s="259"/>
      <c r="E115" s="259"/>
      <c r="F115" s="259"/>
      <c r="G115" s="259"/>
      <c r="H115" s="259"/>
      <c r="I115" s="259"/>
    </row>
    <row r="116" spans="1:9">
      <c r="A116" s="259"/>
      <c r="B116" s="303"/>
      <c r="C116" s="259"/>
      <c r="D116" s="259"/>
      <c r="E116" s="259"/>
      <c r="F116" s="259"/>
      <c r="G116" s="259"/>
      <c r="H116" s="259"/>
      <c r="I116" s="259"/>
    </row>
    <row r="117" spans="1:9">
      <c r="A117" s="259"/>
      <c r="B117" s="303"/>
      <c r="C117" s="259"/>
      <c r="D117" s="259"/>
      <c r="E117" s="259"/>
      <c r="F117" s="259"/>
      <c r="G117" s="259"/>
      <c r="H117" s="259"/>
      <c r="I117" s="259"/>
    </row>
    <row r="118" spans="1:9">
      <c r="A118" s="259"/>
      <c r="B118" s="303"/>
      <c r="C118" s="259"/>
      <c r="D118" s="259"/>
      <c r="E118" s="259"/>
      <c r="F118" s="259"/>
      <c r="G118" s="259"/>
      <c r="H118" s="259"/>
      <c r="I118" s="259"/>
    </row>
    <row r="119" spans="1:9">
      <c r="A119" s="259"/>
      <c r="B119" s="303"/>
      <c r="C119" s="259"/>
      <c r="D119" s="259"/>
      <c r="E119" s="259"/>
      <c r="F119" s="259"/>
      <c r="G119" s="259"/>
      <c r="H119" s="259"/>
      <c r="I119" s="259"/>
    </row>
    <row r="120" spans="1:9">
      <c r="A120" s="259"/>
      <c r="B120" s="303"/>
      <c r="C120" s="259"/>
      <c r="D120" s="259"/>
      <c r="E120" s="259"/>
      <c r="F120" s="259"/>
      <c r="G120" s="259"/>
      <c r="H120" s="259"/>
      <c r="I120" s="259"/>
    </row>
    <row r="121" spans="1:9">
      <c r="A121" s="259"/>
      <c r="B121" s="303"/>
      <c r="C121" s="259"/>
      <c r="D121" s="259"/>
      <c r="E121" s="259"/>
      <c r="F121" s="259"/>
      <c r="G121" s="259"/>
      <c r="H121" s="259"/>
      <c r="I121" s="259"/>
    </row>
    <row r="122" spans="1:9">
      <c r="A122" s="259"/>
      <c r="B122" s="303"/>
      <c r="C122" s="259"/>
      <c r="D122" s="259"/>
      <c r="E122" s="259"/>
      <c r="F122" s="259"/>
      <c r="G122" s="259"/>
      <c r="H122" s="259"/>
      <c r="I122" s="259"/>
    </row>
  </sheetData>
  <mergeCells count="8">
    <mergeCell ref="Q5:X5"/>
    <mergeCell ref="A1:O1"/>
    <mergeCell ref="A3:A5"/>
    <mergeCell ref="B3:B5"/>
    <mergeCell ref="C5:I5"/>
    <mergeCell ref="J4:P4"/>
    <mergeCell ref="J5:P5"/>
    <mergeCell ref="V2:X2"/>
  </mergeCells>
  <phoneticPr fontId="0" type="noConversion"/>
  <printOptions horizontalCentered="1"/>
  <pageMargins left="0.31496062992125984" right="0" top="0.55118110236220474" bottom="0.19685039370078741" header="0.15748031496062992" footer="0.15748031496062992"/>
  <pageSetup paperSize="9" scale="45" orientation="landscape" horizontalDpi="200" verticalDpi="200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W5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4" sqref="J4"/>
    </sheetView>
  </sheetViews>
  <sheetFormatPr defaultRowHeight="15"/>
  <cols>
    <col min="1" max="1" width="6.7109375" style="56" customWidth="1"/>
    <col min="2" max="2" width="33.7109375" style="56" customWidth="1"/>
    <col min="3" max="9" width="11.28515625" style="56" customWidth="1"/>
    <col min="10" max="15" width="11.5703125" style="56" customWidth="1"/>
    <col min="16" max="16" width="11.5703125" style="229" customWidth="1"/>
    <col min="17" max="23" width="11.7109375" style="56" customWidth="1"/>
    <col min="24" max="16384" width="9.140625" style="56"/>
  </cols>
  <sheetData>
    <row r="1" spans="1:23" ht="31.5" customHeight="1">
      <c r="A1" s="629" t="s">
        <v>98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30"/>
      <c r="R1" s="630"/>
      <c r="S1" s="630"/>
      <c r="T1" s="630"/>
      <c r="U1" s="630"/>
      <c r="V1" s="630"/>
    </row>
    <row r="2" spans="1:23" ht="26.25" customHeight="1">
      <c r="A2" s="631" t="s">
        <v>47</v>
      </c>
      <c r="B2" s="631" t="s">
        <v>117</v>
      </c>
      <c r="C2" s="632" t="s">
        <v>57</v>
      </c>
      <c r="D2" s="633"/>
      <c r="E2" s="633"/>
      <c r="F2" s="633"/>
      <c r="G2" s="633"/>
      <c r="H2" s="633"/>
      <c r="I2" s="634"/>
      <c r="J2" s="635" t="s">
        <v>185</v>
      </c>
      <c r="K2" s="635"/>
      <c r="L2" s="635"/>
      <c r="M2" s="635"/>
      <c r="N2" s="635"/>
      <c r="O2" s="635"/>
      <c r="P2" s="635"/>
      <c r="Q2" s="636" t="s">
        <v>58</v>
      </c>
      <c r="R2" s="636"/>
      <c r="S2" s="636"/>
      <c r="T2" s="636"/>
      <c r="U2" s="636"/>
      <c r="V2" s="636"/>
      <c r="W2" s="636"/>
    </row>
    <row r="3" spans="1:23" ht="31.5" customHeight="1">
      <c r="A3" s="631"/>
      <c r="B3" s="631"/>
      <c r="C3" s="231" t="s">
        <v>3</v>
      </c>
      <c r="D3" s="231" t="s">
        <v>4</v>
      </c>
      <c r="E3" s="231" t="s">
        <v>147</v>
      </c>
      <c r="F3" s="231" t="s">
        <v>148</v>
      </c>
      <c r="G3" s="231" t="s">
        <v>149</v>
      </c>
      <c r="H3" s="231" t="s">
        <v>150</v>
      </c>
      <c r="I3" s="231" t="s">
        <v>139</v>
      </c>
      <c r="J3" s="232" t="s">
        <v>48</v>
      </c>
      <c r="K3" s="232" t="s">
        <v>49</v>
      </c>
      <c r="L3" s="232" t="s">
        <v>5</v>
      </c>
      <c r="M3" s="232" t="s">
        <v>6</v>
      </c>
      <c r="N3" s="232" t="s">
        <v>7</v>
      </c>
      <c r="O3" s="232" t="s">
        <v>122</v>
      </c>
      <c r="P3" s="230" t="s">
        <v>139</v>
      </c>
      <c r="Q3" s="231" t="s">
        <v>3</v>
      </c>
      <c r="R3" s="231" t="s">
        <v>4</v>
      </c>
      <c r="S3" s="231" t="s">
        <v>147</v>
      </c>
      <c r="T3" s="231" t="s">
        <v>151</v>
      </c>
      <c r="U3" s="231" t="s">
        <v>132</v>
      </c>
      <c r="V3" s="231" t="s">
        <v>150</v>
      </c>
      <c r="W3" s="231" t="s">
        <v>139</v>
      </c>
    </row>
    <row r="4" spans="1:23" s="234" customFormat="1" ht="27.75" customHeight="1">
      <c r="A4" s="631"/>
      <c r="B4" s="228">
        <v>41834</v>
      </c>
      <c r="C4" s="231" t="s">
        <v>8</v>
      </c>
      <c r="D4" s="231" t="s">
        <v>8</v>
      </c>
      <c r="E4" s="231" t="s">
        <v>8</v>
      </c>
      <c r="F4" s="231" t="s">
        <v>8</v>
      </c>
      <c r="G4" s="231" t="s">
        <v>8</v>
      </c>
      <c r="H4" s="231" t="s">
        <v>9</v>
      </c>
      <c r="I4" s="231" t="s">
        <v>10</v>
      </c>
      <c r="J4" s="230"/>
      <c r="K4" s="230"/>
      <c r="L4" s="230"/>
      <c r="M4" s="230"/>
      <c r="N4" s="230"/>
      <c r="O4" s="230"/>
      <c r="P4" s="233"/>
      <c r="Q4" s="231" t="s">
        <v>8</v>
      </c>
      <c r="R4" s="231" t="s">
        <v>8</v>
      </c>
      <c r="S4" s="231" t="s">
        <v>8</v>
      </c>
      <c r="T4" s="231" t="s">
        <v>8</v>
      </c>
      <c r="U4" s="231" t="s">
        <v>8</v>
      </c>
      <c r="V4" s="231" t="s">
        <v>9</v>
      </c>
      <c r="W4" s="231" t="s">
        <v>10</v>
      </c>
    </row>
    <row r="5" spans="1:23" ht="21.75" customHeight="1">
      <c r="A5" s="53"/>
      <c r="B5" s="50" t="s">
        <v>11</v>
      </c>
      <c r="C5" s="138"/>
      <c r="D5" s="138"/>
      <c r="E5" s="138"/>
      <c r="F5" s="137"/>
      <c r="G5" s="137"/>
      <c r="H5" s="137"/>
      <c r="I5" s="137"/>
      <c r="J5" s="53"/>
      <c r="K5" s="53"/>
      <c r="L5" s="53"/>
      <c r="M5" s="53"/>
      <c r="N5" s="53"/>
      <c r="O5" s="53"/>
      <c r="P5" s="235"/>
      <c r="Q5" s="231"/>
      <c r="R5" s="231"/>
      <c r="S5" s="231"/>
      <c r="T5" s="231"/>
      <c r="U5" s="231"/>
      <c r="V5" s="231"/>
      <c r="W5" s="231"/>
    </row>
    <row r="6" spans="1:23" ht="21.75" customHeight="1">
      <c r="A6" s="52">
        <v>1</v>
      </c>
      <c r="B6" s="53" t="s">
        <v>51</v>
      </c>
      <c r="C6" s="236">
        <v>2753.9</v>
      </c>
      <c r="D6" s="236">
        <v>2931.64</v>
      </c>
      <c r="E6" s="236">
        <v>3143.8</v>
      </c>
      <c r="F6" s="237">
        <v>3321.41</v>
      </c>
      <c r="G6" s="237">
        <v>3444.07</v>
      </c>
      <c r="H6" s="237">
        <v>3637.64</v>
      </c>
      <c r="I6" s="237">
        <v>4001.4</v>
      </c>
      <c r="J6" s="60">
        <f ca="1">+'Revenue Deficit (%GSDP)'!J6</f>
        <v>4810</v>
      </c>
      <c r="K6" s="60">
        <f ca="1">+'Revenue Deficit (%GSDP)'!K6</f>
        <v>5687</v>
      </c>
      <c r="L6" s="60">
        <f ca="1">+'Revenue Deficit (%GSDP)'!L6</f>
        <v>7474</v>
      </c>
      <c r="M6" s="60">
        <f ca="1">+'Revenue Deficit (%GSDP)'!M6</f>
        <v>9013</v>
      </c>
      <c r="N6" s="60">
        <f ca="1">+'Revenue Deficit (%GSDP)'!N6</f>
        <v>10619</v>
      </c>
      <c r="O6" s="60">
        <f ca="1">+'Revenue Deficit (%GSDP)'!O6</f>
        <v>12091</v>
      </c>
      <c r="P6" s="62">
        <f ca="1">+'Revenue Deficit (%GSDP)'!P6</f>
        <v>13382</v>
      </c>
      <c r="Q6" s="138">
        <f t="shared" ref="Q6:Q17" si="0">+C6/J6*100</f>
        <v>57.25363825363825</v>
      </c>
      <c r="R6" s="138">
        <f t="shared" ref="R6:R17" si="1">+D6/K6*100</f>
        <v>51.549850536310885</v>
      </c>
      <c r="S6" s="138">
        <f>+E6/L6*100</f>
        <v>42.063152261172064</v>
      </c>
      <c r="T6" s="138">
        <f>+F6/M6*100</f>
        <v>36.851325862642845</v>
      </c>
      <c r="U6" s="138">
        <f>+G6/N6*100</f>
        <v>32.433091628213582</v>
      </c>
      <c r="V6" s="138">
        <f>+H6/O6*100</f>
        <v>30.085518153998841</v>
      </c>
      <c r="W6" s="138">
        <f>+I6/P6*100</f>
        <v>29.901360035869079</v>
      </c>
    </row>
    <row r="7" spans="1:23" ht="21.75" customHeight="1">
      <c r="A7" s="52">
        <v>2</v>
      </c>
      <c r="B7" s="53" t="s">
        <v>13</v>
      </c>
      <c r="C7" s="236">
        <v>19673.73</v>
      </c>
      <c r="D7" s="236">
        <v>22160.67</v>
      </c>
      <c r="E7" s="236">
        <v>23832.94</v>
      </c>
      <c r="F7" s="237">
        <v>25495.279999999999</v>
      </c>
      <c r="G7" s="237">
        <v>25936.5</v>
      </c>
      <c r="H7" s="237">
        <v>26592.55</v>
      </c>
      <c r="I7" s="237">
        <v>33858.559999999998</v>
      </c>
      <c r="J7" s="60">
        <f ca="1">+'Revenue Deficit (%GSDP)'!J7</f>
        <v>71076</v>
      </c>
      <c r="K7" s="60">
        <f ca="1">+'Revenue Deficit (%GSDP)'!K7</f>
        <v>81074</v>
      </c>
      <c r="L7" s="60">
        <f ca="1">+'Revenue Deficit (%GSDP)'!L7</f>
        <v>95975</v>
      </c>
      <c r="M7" s="60">
        <f ca="1">+'Revenue Deficit (%GSDP)'!M7</f>
        <v>112688</v>
      </c>
      <c r="N7" s="60">
        <f ca="1">+'Revenue Deficit (%GSDP)'!N7</f>
        <v>125820</v>
      </c>
      <c r="O7" s="60">
        <f ca="1">+'Revenue Deficit (%GSDP)'!O7</f>
        <v>141621</v>
      </c>
      <c r="P7" s="62">
        <f ca="1">+'Revenue Deficit (%GSDP)'!P7</f>
        <v>162652</v>
      </c>
      <c r="Q7" s="138">
        <f t="shared" si="0"/>
        <v>27.679849738308288</v>
      </c>
      <c r="R7" s="138">
        <f t="shared" si="1"/>
        <v>27.333880158867206</v>
      </c>
      <c r="S7" s="138">
        <f t="shared" ref="S7:S16" si="2">+E7/L7*100</f>
        <v>24.832445949466006</v>
      </c>
      <c r="T7" s="138">
        <f t="shared" ref="T7:T16" si="3">+F7/M7*100</f>
        <v>22.624662785744711</v>
      </c>
      <c r="U7" s="138">
        <f t="shared" ref="U7:U16" si="4">+G7/N7*100</f>
        <v>20.613972341440153</v>
      </c>
      <c r="V7" s="138">
        <f t="shared" ref="V7:W16" si="5">+H7/O7*100</f>
        <v>18.777264671199891</v>
      </c>
      <c r="W7" s="138">
        <f t="shared" si="5"/>
        <v>20.816565428030394</v>
      </c>
    </row>
    <row r="8" spans="1:23" ht="21.75" customHeight="1">
      <c r="A8" s="52">
        <v>3</v>
      </c>
      <c r="B8" s="53" t="s">
        <v>14</v>
      </c>
      <c r="C8" s="236">
        <v>21241.84</v>
      </c>
      <c r="D8" s="236">
        <v>23151.39</v>
      </c>
      <c r="E8" s="236">
        <v>23163.74</v>
      </c>
      <c r="F8" s="237">
        <v>24960.85</v>
      </c>
      <c r="G8" s="237">
        <v>26494.07</v>
      </c>
      <c r="H8" s="237">
        <v>28707</v>
      </c>
      <c r="I8" s="237">
        <v>31155</v>
      </c>
      <c r="J8" s="60">
        <f ca="1">+'Revenue Deficit (%GSDP)'!J8</f>
        <v>33963</v>
      </c>
      <c r="K8" s="60">
        <f ca="1">+'Revenue Deficit (%GSDP)'!K8</f>
        <v>41483</v>
      </c>
      <c r="L8" s="60">
        <f ca="1">+'Revenue Deficit (%GSDP)'!L8</f>
        <v>48189</v>
      </c>
      <c r="M8" s="60">
        <f ca="1">+'Revenue Deficit (%GSDP)'!M8</f>
        <v>57452</v>
      </c>
      <c r="N8" s="60">
        <f ca="1">+'Revenue Deficit (%GSDP)'!N8</f>
        <v>64957</v>
      </c>
      <c r="O8" s="60">
        <f ca="1">+'Revenue Deficit (%GSDP)'!O8</f>
        <v>73710</v>
      </c>
      <c r="P8" s="62">
        <f ca="1">+'Revenue Deficit (%GSDP)'!P8</f>
        <v>82585</v>
      </c>
      <c r="Q8" s="138">
        <f t="shared" si="0"/>
        <v>62.544062656420216</v>
      </c>
      <c r="R8" s="138">
        <f t="shared" si="1"/>
        <v>55.809343586529423</v>
      </c>
      <c r="S8" s="138">
        <f t="shared" si="2"/>
        <v>48.068521861835691</v>
      </c>
      <c r="T8" s="138">
        <f t="shared" si="3"/>
        <v>43.44644224744134</v>
      </c>
      <c r="U8" s="138">
        <f t="shared" si="4"/>
        <v>40.78708992102468</v>
      </c>
      <c r="V8" s="138">
        <f t="shared" si="5"/>
        <v>38.945868945868945</v>
      </c>
      <c r="W8" s="138">
        <f t="shared" si="5"/>
        <v>37.72476842041533</v>
      </c>
    </row>
    <row r="9" spans="1:23" ht="21.75" customHeight="1">
      <c r="A9" s="52">
        <v>4</v>
      </c>
      <c r="B9" s="53" t="s">
        <v>52</v>
      </c>
      <c r="C9" s="236">
        <v>14807.25</v>
      </c>
      <c r="D9" s="236">
        <v>17234.84</v>
      </c>
      <c r="E9" s="236">
        <v>25761.84</v>
      </c>
      <c r="F9" s="237">
        <v>31271.87</v>
      </c>
      <c r="G9" s="237">
        <v>365252</v>
      </c>
      <c r="H9" s="237">
        <v>40238.71</v>
      </c>
      <c r="I9" s="237">
        <v>44009.7</v>
      </c>
      <c r="J9" s="60">
        <f ca="1">+'Revenue Deficit (%GSDP)'!J9</f>
        <v>37099</v>
      </c>
      <c r="K9" s="60">
        <f ca="1">+'Revenue Deficit (%GSDP)'!K9</f>
        <v>42315</v>
      </c>
      <c r="L9" s="60">
        <f ca="1">+'Revenue Deficit (%GSDP)'!L9</f>
        <v>48385</v>
      </c>
      <c r="M9" s="60">
        <f ca="1">+'Revenue Deficit (%GSDP)'!M9</f>
        <v>58073</v>
      </c>
      <c r="N9" s="60">
        <f ca="1">+'Revenue Deficit (%GSDP)'!N9</f>
        <v>65759</v>
      </c>
      <c r="O9" s="60">
        <f ca="1">+'Revenue Deficit (%GSDP)'!O9</f>
        <v>75574</v>
      </c>
      <c r="P9" s="62">
        <f ca="1">+'Revenue Deficit (%GSDP)'!P9</f>
        <v>87319</v>
      </c>
      <c r="Q9" s="138">
        <f t="shared" si="0"/>
        <v>39.912800884120863</v>
      </c>
      <c r="R9" s="138">
        <f t="shared" si="1"/>
        <v>40.729859387923909</v>
      </c>
      <c r="S9" s="138">
        <f t="shared" si="2"/>
        <v>53.243443215872688</v>
      </c>
      <c r="T9" s="138">
        <f t="shared" si="3"/>
        <v>53.849241471940488</v>
      </c>
      <c r="U9" s="138">
        <f t="shared" si="4"/>
        <v>555.44031995620367</v>
      </c>
      <c r="V9" s="138">
        <f t="shared" si="5"/>
        <v>53.24411834757985</v>
      </c>
      <c r="W9" s="138">
        <f t="shared" si="5"/>
        <v>50.401058188939409</v>
      </c>
    </row>
    <row r="10" spans="1:23" ht="21.75" customHeight="1">
      <c r="A10" s="52">
        <v>5</v>
      </c>
      <c r="B10" s="53" t="s">
        <v>16</v>
      </c>
      <c r="C10" s="236">
        <v>4526.96</v>
      </c>
      <c r="D10" s="236">
        <v>4872.6000000000004</v>
      </c>
      <c r="E10" s="236">
        <v>5518.94</v>
      </c>
      <c r="F10" s="237">
        <v>6190.54</v>
      </c>
      <c r="G10" s="237">
        <v>6481.44</v>
      </c>
      <c r="H10" s="237">
        <v>6663.51</v>
      </c>
      <c r="I10" s="237">
        <v>6947.95</v>
      </c>
      <c r="J10" s="60">
        <f ca="1">+'Revenue Deficit (%GSDP)'!J10</f>
        <v>6783</v>
      </c>
      <c r="K10" s="60">
        <f ca="1">+'Revenue Deficit (%GSDP)'!K10</f>
        <v>7399</v>
      </c>
      <c r="L10" s="60">
        <f ca="1">+'Revenue Deficit (%GSDP)'!L10</f>
        <v>8254</v>
      </c>
      <c r="M10" s="60">
        <f ca="1">+'Revenue Deficit (%GSDP)'!M10</f>
        <v>9137</v>
      </c>
      <c r="N10" s="60">
        <f ca="1">+'Revenue Deficit (%GSDP)'!N10</f>
        <v>10504</v>
      </c>
      <c r="O10" s="60">
        <f ca="1">+'Revenue Deficit (%GSDP)'!O10</f>
        <v>11983</v>
      </c>
      <c r="P10" s="62">
        <f ca="1">+'Revenue Deficit (%GSDP)'!P10</f>
        <v>13433.125480627126</v>
      </c>
      <c r="Q10" s="138">
        <f t="shared" si="0"/>
        <v>66.739790653103341</v>
      </c>
      <c r="R10" s="138">
        <f t="shared" si="1"/>
        <v>65.854845249358036</v>
      </c>
      <c r="S10" s="138">
        <f t="shared" si="2"/>
        <v>66.863823600678458</v>
      </c>
      <c r="T10" s="138">
        <f t="shared" si="3"/>
        <v>67.752435153770392</v>
      </c>
      <c r="U10" s="138">
        <f t="shared" si="4"/>
        <v>61.704493526275705</v>
      </c>
      <c r="V10" s="138">
        <f t="shared" si="5"/>
        <v>55.608028039722946</v>
      </c>
      <c r="W10" s="138">
        <f t="shared" si="5"/>
        <v>51.722512456391016</v>
      </c>
    </row>
    <row r="11" spans="1:23" ht="21.75" customHeight="1">
      <c r="A11" s="52">
        <v>6</v>
      </c>
      <c r="B11" s="53" t="s">
        <v>17</v>
      </c>
      <c r="C11" s="236">
        <v>3139.39</v>
      </c>
      <c r="D11" s="236">
        <v>3571.59</v>
      </c>
      <c r="E11" s="236">
        <v>3801.06</v>
      </c>
      <c r="F11" s="237">
        <v>4086.46</v>
      </c>
      <c r="G11" s="237">
        <v>5088.97</v>
      </c>
      <c r="H11" s="237">
        <v>4962.7700000000004</v>
      </c>
      <c r="I11" s="237">
        <v>5616.36</v>
      </c>
      <c r="J11" s="60">
        <f ca="1">+'Revenue Deficit (%GSDP)'!J11</f>
        <v>9735</v>
      </c>
      <c r="K11" s="60">
        <f ca="1">+'Revenue Deficit (%GSDP)'!K11</f>
        <v>11617</v>
      </c>
      <c r="L11" s="60">
        <f ca="1">+'Revenue Deficit (%GSDP)'!L11</f>
        <v>12709</v>
      </c>
      <c r="M11" s="60">
        <f ca="1">+'Revenue Deficit (%GSDP)'!M11</f>
        <v>14583</v>
      </c>
      <c r="N11" s="60">
        <f ca="1">+'Revenue Deficit (%GSDP)'!N11</f>
        <v>16412</v>
      </c>
      <c r="O11" s="60">
        <f ca="1">+'Revenue Deficit (%GSDP)'!O11</f>
        <v>18135</v>
      </c>
      <c r="P11" s="62">
        <f ca="1">+'Revenue Deficit (%GSDP)'!P11</f>
        <v>20808</v>
      </c>
      <c r="Q11" s="138">
        <f t="shared" si="0"/>
        <v>32.24848484848485</v>
      </c>
      <c r="R11" s="138">
        <f t="shared" si="1"/>
        <v>30.744512352586728</v>
      </c>
      <c r="S11" s="138">
        <f t="shared" si="2"/>
        <v>29.908411362026911</v>
      </c>
      <c r="T11" s="138">
        <f t="shared" si="3"/>
        <v>28.02208050469725</v>
      </c>
      <c r="U11" s="138">
        <f t="shared" si="4"/>
        <v>31.007616378259812</v>
      </c>
      <c r="V11" s="138">
        <f t="shared" si="5"/>
        <v>27.365701681830718</v>
      </c>
      <c r="W11" s="138">
        <f t="shared" si="5"/>
        <v>26.991349480968857</v>
      </c>
    </row>
    <row r="12" spans="1:23" ht="21.75" customHeight="1">
      <c r="A12" s="52">
        <v>7</v>
      </c>
      <c r="B12" s="53" t="s">
        <v>18</v>
      </c>
      <c r="C12" s="236">
        <v>3062.46</v>
      </c>
      <c r="D12" s="236">
        <v>3259.82</v>
      </c>
      <c r="E12" s="236">
        <v>3163.95</v>
      </c>
      <c r="F12" s="237">
        <v>3704.55</v>
      </c>
      <c r="G12" s="237">
        <v>3789.26</v>
      </c>
      <c r="H12" s="237">
        <v>4031.86</v>
      </c>
      <c r="I12" s="237">
        <v>4582.8500000000004</v>
      </c>
      <c r="J12" s="60">
        <f ca="1">+'Revenue Deficit (%GSDP)'!J12</f>
        <v>3816</v>
      </c>
      <c r="K12" s="60">
        <f ca="1">+'Revenue Deficit (%GSDP)'!K12</f>
        <v>4577</v>
      </c>
      <c r="L12" s="60">
        <f ca="1">+'Revenue Deficit (%GSDP)'!L12</f>
        <v>5260</v>
      </c>
      <c r="M12" s="60">
        <f ca="1">+'Revenue Deficit (%GSDP)'!M12</f>
        <v>6388</v>
      </c>
      <c r="N12" s="171">
        <f ca="1">+'Revenue Deficit (%GSDP)'!N12</f>
        <v>7198</v>
      </c>
      <c r="O12" s="60">
        <f ca="1">+'Revenue Deficit (%GSDP)'!O12</f>
        <v>8053</v>
      </c>
      <c r="P12" s="62">
        <f ca="1">+'Revenue Deficit (%GSDP)'!P12</f>
        <v>9366.0879379254438</v>
      </c>
      <c r="Q12" s="138">
        <f t="shared" si="0"/>
        <v>80.253144654088047</v>
      </c>
      <c r="R12" s="138">
        <f t="shared" si="1"/>
        <v>71.221760978807083</v>
      </c>
      <c r="S12" s="138">
        <f t="shared" si="2"/>
        <v>60.151140684410642</v>
      </c>
      <c r="T12" s="138">
        <f t="shared" si="3"/>
        <v>57.992329367564189</v>
      </c>
      <c r="U12" s="172">
        <f t="shared" si="4"/>
        <v>52.643234231731043</v>
      </c>
      <c r="V12" s="138">
        <f t="shared" si="5"/>
        <v>50.066559046318147</v>
      </c>
      <c r="W12" s="138">
        <f t="shared" si="5"/>
        <v>48.930247402898992</v>
      </c>
    </row>
    <row r="13" spans="1:23" ht="21.75" customHeight="1">
      <c r="A13" s="52">
        <v>8</v>
      </c>
      <c r="B13" s="53" t="s">
        <v>19</v>
      </c>
      <c r="C13" s="236">
        <v>3884.11</v>
      </c>
      <c r="D13" s="236">
        <v>4571.7</v>
      </c>
      <c r="E13" s="236">
        <v>5139.47</v>
      </c>
      <c r="F13" s="237">
        <v>5864.53</v>
      </c>
      <c r="G13" s="237">
        <v>6759.87</v>
      </c>
      <c r="H13" s="237">
        <v>7291.62</v>
      </c>
      <c r="I13" s="237">
        <v>7312.75</v>
      </c>
      <c r="J13" s="60">
        <f ca="1">+'Revenue Deficit (%GSDP)'!J13</f>
        <v>8075</v>
      </c>
      <c r="K13" s="60">
        <f ca="1">+'Revenue Deficit (%GSDP)'!K13</f>
        <v>9436</v>
      </c>
      <c r="L13" s="60">
        <f ca="1">+'Revenue Deficit (%GSDP)'!L13</f>
        <v>10527</v>
      </c>
      <c r="M13" s="60">
        <f ca="1">+'Revenue Deficit (%GSDP)'!M13</f>
        <v>11759</v>
      </c>
      <c r="N13" s="60">
        <f ca="1">+'Revenue Deficit (%GSDP)'!N13</f>
        <v>13203</v>
      </c>
      <c r="O13" s="60">
        <f ca="1">+'Revenue Deficit (%GSDP)'!O13</f>
        <v>14832</v>
      </c>
      <c r="P13" s="62">
        <f ca="1">+'Revenue Deficit (%GSDP)'!P13</f>
        <v>16703.207706222278</v>
      </c>
      <c r="Q13" s="138">
        <f t="shared" si="0"/>
        <v>48.100433436532505</v>
      </c>
      <c r="R13" s="138">
        <f t="shared" si="1"/>
        <v>48.44955489614243</v>
      </c>
      <c r="S13" s="138">
        <f t="shared" si="2"/>
        <v>48.821791583547068</v>
      </c>
      <c r="T13" s="138">
        <f t="shared" si="3"/>
        <v>49.872693256229269</v>
      </c>
      <c r="U13" s="138">
        <f t="shared" si="4"/>
        <v>51.19950011361054</v>
      </c>
      <c r="V13" s="138">
        <f t="shared" si="5"/>
        <v>49.161407766990287</v>
      </c>
      <c r="W13" s="138">
        <f t="shared" si="5"/>
        <v>43.780512872840916</v>
      </c>
    </row>
    <row r="14" spans="1:23" ht="21.75" customHeight="1">
      <c r="A14" s="52">
        <v>9</v>
      </c>
      <c r="B14" s="53" t="s">
        <v>20</v>
      </c>
      <c r="C14" s="236">
        <v>1561.59</v>
      </c>
      <c r="D14" s="236">
        <v>1852.05</v>
      </c>
      <c r="E14" s="236">
        <v>2284.7600000000002</v>
      </c>
      <c r="F14" s="237">
        <v>2429.84</v>
      </c>
      <c r="G14" s="237">
        <v>2552.8200000000002</v>
      </c>
      <c r="H14" s="237">
        <v>2758.1</v>
      </c>
      <c r="I14" s="237">
        <v>3070.1</v>
      </c>
      <c r="J14" s="60">
        <f ca="1">+'Revenue Deficit (%GSDP)'!J14</f>
        <v>2506</v>
      </c>
      <c r="K14" s="60">
        <f ca="1">+'Revenue Deficit (%GSDP)'!K14</f>
        <v>3229</v>
      </c>
      <c r="L14" s="60">
        <f ca="1">+'Revenue Deficit (%GSDP)'!L14</f>
        <v>6133</v>
      </c>
      <c r="M14" s="60">
        <f ca="1">+'Revenue Deficit (%GSDP)'!M14</f>
        <v>7412</v>
      </c>
      <c r="N14" s="60">
        <f ca="1">+'Revenue Deficit (%GSDP)'!N14</f>
        <v>8616</v>
      </c>
      <c r="O14" s="60">
        <f ca="1">+'Revenue Deficit (%GSDP)'!O14</f>
        <v>9957</v>
      </c>
      <c r="P14" s="62">
        <f ca="1">+'Revenue Deficit (%GSDP)'!P14</f>
        <v>13261.907960807141</v>
      </c>
      <c r="Q14" s="138">
        <f t="shared" si="0"/>
        <v>62.314046288906624</v>
      </c>
      <c r="R14" s="138">
        <f t="shared" si="1"/>
        <v>57.356766800867142</v>
      </c>
      <c r="S14" s="138">
        <f t="shared" si="2"/>
        <v>37.253546388390681</v>
      </c>
      <c r="T14" s="138">
        <f t="shared" si="3"/>
        <v>32.782514840798704</v>
      </c>
      <c r="U14" s="138">
        <f t="shared" si="4"/>
        <v>29.628830083565461</v>
      </c>
      <c r="V14" s="138">
        <f t="shared" si="5"/>
        <v>27.700110475042685</v>
      </c>
      <c r="W14" s="138">
        <f t="shared" si="5"/>
        <v>23.149761022871317</v>
      </c>
    </row>
    <row r="15" spans="1:23" ht="21.75" customHeight="1">
      <c r="A15" s="52">
        <v>10</v>
      </c>
      <c r="B15" s="53" t="s">
        <v>21</v>
      </c>
      <c r="C15" s="236">
        <v>4745.32</v>
      </c>
      <c r="D15" s="236">
        <v>5066.51</v>
      </c>
      <c r="E15" s="236">
        <v>5777.8</v>
      </c>
      <c r="F15" s="237">
        <v>6462.9</v>
      </c>
      <c r="G15" s="237">
        <v>6863.63</v>
      </c>
      <c r="H15" s="237">
        <v>7673.04</v>
      </c>
      <c r="I15" s="237">
        <v>8175.22</v>
      </c>
      <c r="J15" s="60">
        <f ca="1">+'Revenue Deficit (%GSDP)'!J15</f>
        <v>11797</v>
      </c>
      <c r="K15" s="60">
        <f ca="1">+'Revenue Deficit (%GSDP)'!K15</f>
        <v>13573</v>
      </c>
      <c r="L15" s="60">
        <f ca="1">+'Revenue Deficit (%GSDP)'!L15</f>
        <v>15403</v>
      </c>
      <c r="M15" s="60">
        <f ca="1">+'Revenue Deficit (%GSDP)'!M15</f>
        <v>17868</v>
      </c>
      <c r="N15" s="60">
        <f ca="1">+'Revenue Deficit (%GSDP)'!N15</f>
        <v>20982</v>
      </c>
      <c r="O15" s="60">
        <f ca="1">+'Revenue Deficit (%GSDP)'!O15</f>
        <v>23855</v>
      </c>
      <c r="P15" s="62">
        <f ca="1">+'Revenue Deficit (%GSDP)'!P15</f>
        <v>27499.381963863005</v>
      </c>
      <c r="Q15" s="138">
        <f t="shared" si="0"/>
        <v>40.224802915995589</v>
      </c>
      <c r="R15" s="138">
        <f t="shared" si="1"/>
        <v>37.327856774478747</v>
      </c>
      <c r="S15" s="138">
        <f t="shared" si="2"/>
        <v>37.510874504966566</v>
      </c>
      <c r="T15" s="138">
        <f t="shared" si="3"/>
        <v>36.170248488918737</v>
      </c>
      <c r="U15" s="138">
        <f t="shared" si="4"/>
        <v>32.71199123057859</v>
      </c>
      <c r="V15" s="138">
        <f t="shared" si="5"/>
        <v>32.165332215468453</v>
      </c>
      <c r="W15" s="138">
        <f t="shared" si="5"/>
        <v>29.728740852223783</v>
      </c>
    </row>
    <row r="16" spans="1:23" ht="21.75" customHeight="1">
      <c r="A16" s="52">
        <v>11</v>
      </c>
      <c r="B16" s="53" t="s">
        <v>22</v>
      </c>
      <c r="C16" s="236">
        <v>13037.46</v>
      </c>
      <c r="D16" s="236">
        <v>14443.35</v>
      </c>
      <c r="E16" s="236">
        <v>17029.45</v>
      </c>
      <c r="F16" s="237">
        <v>19806.990000000002</v>
      </c>
      <c r="G16" s="237">
        <v>21752.77</v>
      </c>
      <c r="H16" s="237">
        <v>23519.1</v>
      </c>
      <c r="I16" s="237">
        <v>28498.94</v>
      </c>
      <c r="J16" s="60">
        <f ca="1">+'Revenue Deficit (%GSDP)'!J16</f>
        <v>45856</v>
      </c>
      <c r="K16" s="60">
        <f ca="1">+'Revenue Deficit (%GSDP)'!K16</f>
        <v>56025</v>
      </c>
      <c r="L16" s="60">
        <f ca="1">+'Revenue Deficit (%GSDP)'!L16</f>
        <v>70730</v>
      </c>
      <c r="M16" s="60">
        <f ca="1">+'Revenue Deficit (%GSDP)'!M16</f>
        <v>83969</v>
      </c>
      <c r="N16" s="60">
        <f ca="1">+'Revenue Deficit (%GSDP)'!N16</f>
        <v>97696</v>
      </c>
      <c r="O16" s="60">
        <f ca="1">+'Revenue Deficit (%GSDP)'!O16</f>
        <v>113958</v>
      </c>
      <c r="P16" s="62">
        <f ca="1">+'Revenue Deficit (%GSDP)'!P16</f>
        <v>132969</v>
      </c>
      <c r="Q16" s="138">
        <f t="shared" si="0"/>
        <v>28.43130669923238</v>
      </c>
      <c r="R16" s="138">
        <f t="shared" si="1"/>
        <v>25.780187416331994</v>
      </c>
      <c r="S16" s="138">
        <f t="shared" si="2"/>
        <v>24.07670012724445</v>
      </c>
      <c r="T16" s="138">
        <f t="shared" si="3"/>
        <v>23.588455263251916</v>
      </c>
      <c r="U16" s="138">
        <f t="shared" si="4"/>
        <v>22.265773419587294</v>
      </c>
      <c r="V16" s="138">
        <f t="shared" si="5"/>
        <v>20.638393092191858</v>
      </c>
      <c r="W16" s="138">
        <f t="shared" si="5"/>
        <v>21.432770044145627</v>
      </c>
    </row>
    <row r="17" spans="1:23" s="59" customFormat="1" ht="21.75" customHeight="1">
      <c r="A17" s="50"/>
      <c r="B17" s="50" t="s">
        <v>62</v>
      </c>
      <c r="C17" s="238">
        <f t="shared" ref="C17:J17" si="6">SUM(C6:C16)</f>
        <v>92434.010000000009</v>
      </c>
      <c r="D17" s="238">
        <f t="shared" si="6"/>
        <v>103116.16</v>
      </c>
      <c r="E17" s="238">
        <f t="shared" si="6"/>
        <v>118617.74999999999</v>
      </c>
      <c r="F17" s="238">
        <f t="shared" si="6"/>
        <v>133595.21999999997</v>
      </c>
      <c r="G17" s="238">
        <f t="shared" si="6"/>
        <v>474415.4</v>
      </c>
      <c r="H17" s="238">
        <f t="shared" si="6"/>
        <v>156075.9</v>
      </c>
      <c r="I17" s="238">
        <f t="shared" si="6"/>
        <v>177228.83000000002</v>
      </c>
      <c r="J17" s="58">
        <f t="shared" si="6"/>
        <v>235516</v>
      </c>
      <c r="K17" s="58">
        <f t="shared" ref="K17:P17" si="7">SUM(K6:K16)</f>
        <v>276415</v>
      </c>
      <c r="L17" s="58">
        <f t="shared" si="7"/>
        <v>329039</v>
      </c>
      <c r="M17" s="58">
        <f t="shared" si="7"/>
        <v>388342</v>
      </c>
      <c r="N17" s="58">
        <f t="shared" si="7"/>
        <v>441766</v>
      </c>
      <c r="O17" s="58">
        <f t="shared" si="7"/>
        <v>503769</v>
      </c>
      <c r="P17" s="239">
        <f t="shared" si="7"/>
        <v>579978.71104944497</v>
      </c>
      <c r="Q17" s="139">
        <f t="shared" si="0"/>
        <v>39.247443910392505</v>
      </c>
      <c r="R17" s="139">
        <f t="shared" si="1"/>
        <v>37.304835121104141</v>
      </c>
      <c r="S17" s="139">
        <f>+E17/L17*100</f>
        <v>36.049753980531179</v>
      </c>
      <c r="T17" s="139">
        <f>+F17/M17*100</f>
        <v>34.401434817763715</v>
      </c>
      <c r="U17" s="139">
        <f>+G17/N17*100</f>
        <v>107.39065478103794</v>
      </c>
      <c r="V17" s="139">
        <f>+H17/O17*100</f>
        <v>30.981640394704712</v>
      </c>
      <c r="W17" s="139">
        <f>+I17/P17*100</f>
        <v>30.557816454902724</v>
      </c>
    </row>
    <row r="18" spans="1:23" s="59" customFormat="1" ht="21.75" customHeight="1">
      <c r="A18" s="50"/>
      <c r="B18" s="50" t="s">
        <v>189</v>
      </c>
      <c r="C18" s="238"/>
      <c r="D18" s="238"/>
      <c r="E18" s="238"/>
      <c r="F18" s="240"/>
      <c r="G18" s="240"/>
      <c r="H18" s="240"/>
      <c r="I18" s="240"/>
      <c r="J18" s="60"/>
      <c r="K18" s="60"/>
      <c r="L18" s="60"/>
      <c r="M18" s="60"/>
      <c r="N18" s="60"/>
      <c r="O18" s="60"/>
      <c r="P18" s="62">
        <f ca="1">+'Revenue Deficit (%GSDP)'!P18</f>
        <v>0</v>
      </c>
      <c r="Q18" s="138"/>
      <c r="R18" s="138"/>
      <c r="S18" s="138"/>
      <c r="T18" s="138"/>
      <c r="U18" s="138"/>
      <c r="V18" s="138"/>
      <c r="W18" s="138"/>
    </row>
    <row r="19" spans="1:23" ht="21.75" customHeight="1">
      <c r="A19" s="52">
        <v>12</v>
      </c>
      <c r="B19" s="53" t="s">
        <v>25</v>
      </c>
      <c r="C19" s="236">
        <v>82478.960000000006</v>
      </c>
      <c r="D19" s="236">
        <v>93568.24</v>
      </c>
      <c r="E19" s="236">
        <v>108005.7</v>
      </c>
      <c r="F19" s="237">
        <v>121743.84</v>
      </c>
      <c r="G19" s="237">
        <v>134358.53</v>
      </c>
      <c r="H19" s="237">
        <v>151182.04999999999</v>
      </c>
      <c r="I19" s="237">
        <v>176052.1</v>
      </c>
      <c r="J19" s="60">
        <f ca="1">+'Revenue Deficit (%GSDP)'!J19</f>
        <v>364813</v>
      </c>
      <c r="K19" s="60">
        <f ca="1">+'Revenue Deficit (%GSDP)'!K19</f>
        <v>426765</v>
      </c>
      <c r="L19" s="60">
        <f ca="1">+'Revenue Deficit (%GSDP)'!L19</f>
        <v>476835</v>
      </c>
      <c r="M19" s="60">
        <f ca="1">+'Revenue Deficit (%GSDP)'!M19</f>
        <v>583762</v>
      </c>
      <c r="N19" s="60">
        <f ca="1">+'Revenue Deficit (%GSDP)'!N19</f>
        <v>662592</v>
      </c>
      <c r="O19" s="60">
        <f ca="1">+'Revenue Deficit (%GSDP)'!O19</f>
        <v>754409</v>
      </c>
      <c r="P19" s="62">
        <f ca="1">+'Revenue Deficit (%GSDP)'!P19</f>
        <v>857364</v>
      </c>
      <c r="Q19" s="138">
        <f t="shared" ref="Q19:Q36" si="8">+C19/J19*100</f>
        <v>22.608558357295383</v>
      </c>
      <c r="R19" s="138">
        <f t="shared" ref="R19:R36" si="9">+D19/K19*100</f>
        <v>21.925003221913698</v>
      </c>
      <c r="S19" s="138">
        <f>+E19/L19*100</f>
        <v>22.650539494793794</v>
      </c>
      <c r="T19" s="138">
        <f>+F19/M19*100</f>
        <v>20.855047091109046</v>
      </c>
      <c r="U19" s="138">
        <f>+G19/N19*100</f>
        <v>20.277716905727807</v>
      </c>
      <c r="V19" s="138">
        <f>+H19/O19*100</f>
        <v>20.039799366126331</v>
      </c>
      <c r="W19" s="138">
        <f>+I19/P19*100</f>
        <v>20.53411386528942</v>
      </c>
    </row>
    <row r="20" spans="1:23" ht="21.75" customHeight="1">
      <c r="A20" s="52">
        <v>13</v>
      </c>
      <c r="B20" s="53" t="s">
        <v>26</v>
      </c>
      <c r="C20" s="236">
        <v>44474.64</v>
      </c>
      <c r="D20" s="236">
        <v>48864.639999999999</v>
      </c>
      <c r="E20" s="236">
        <v>52753.19</v>
      </c>
      <c r="F20" s="237">
        <v>56848.28</v>
      </c>
      <c r="G20" s="237">
        <v>60551.65</v>
      </c>
      <c r="H20" s="237">
        <v>67029.279999999999</v>
      </c>
      <c r="I20" s="237">
        <v>78555.360000000001</v>
      </c>
      <c r="J20" s="60">
        <f ca="1">+'Revenue Deficit (%GSDP)'!J20</f>
        <v>113680</v>
      </c>
      <c r="K20" s="60">
        <f ca="1">+'Revenue Deficit (%GSDP)'!K20</f>
        <v>142279</v>
      </c>
      <c r="L20" s="60">
        <f ca="1">+'Revenue Deficit (%GSDP)'!L20</f>
        <v>162924</v>
      </c>
      <c r="M20" s="60">
        <f ca="1">+'Revenue Deficit (%GSDP)'!M20</f>
        <v>204289</v>
      </c>
      <c r="N20" s="60">
        <f ca="1">+'Revenue Deficit (%GSDP)'!N20</f>
        <v>247318</v>
      </c>
      <c r="O20" s="60">
        <f ca="1">+'Revenue Deficit (%GSDP)'!O20</f>
        <v>313995</v>
      </c>
      <c r="P20" s="62">
        <f ca="1">+'Revenue Deficit (%GSDP)'!P20</f>
        <v>368337</v>
      </c>
      <c r="Q20" s="138">
        <f t="shared" si="8"/>
        <v>39.122660098522168</v>
      </c>
      <c r="R20" s="138">
        <f t="shared" si="9"/>
        <v>34.344239135782509</v>
      </c>
      <c r="S20" s="138">
        <f t="shared" ref="S20:S35" si="10">+E20/L20*100</f>
        <v>32.379017210478509</v>
      </c>
      <c r="T20" s="138">
        <f t="shared" ref="T20:T35" si="11">+F20/M20*100</f>
        <v>27.827381797355706</v>
      </c>
      <c r="U20" s="138">
        <f t="shared" ref="U20:U35" si="12">+G20/N20*100</f>
        <v>24.483317025044681</v>
      </c>
      <c r="V20" s="138">
        <f t="shared" ref="V20:W35" si="13">+H20/O20*100</f>
        <v>21.347244382872336</v>
      </c>
      <c r="W20" s="138">
        <f t="shared" si="13"/>
        <v>21.32703475350019</v>
      </c>
    </row>
    <row r="21" spans="1:23" ht="21.75" customHeight="1">
      <c r="A21" s="52">
        <v>14</v>
      </c>
      <c r="B21" s="53" t="s">
        <v>27</v>
      </c>
      <c r="C21" s="236">
        <v>12108.23</v>
      </c>
      <c r="D21" s="236">
        <v>14777.31</v>
      </c>
      <c r="E21" s="236">
        <v>15936.62</v>
      </c>
      <c r="F21" s="237">
        <v>16696.990000000002</v>
      </c>
      <c r="G21" s="237">
        <v>17102.02</v>
      </c>
      <c r="H21" s="237">
        <v>20594.87</v>
      </c>
      <c r="I21" s="237">
        <v>25547.73</v>
      </c>
      <c r="J21" s="60">
        <f ca="1">+'Revenue Deficit (%GSDP)'!J21</f>
        <v>80255</v>
      </c>
      <c r="K21" s="60">
        <f ca="1">+'Revenue Deficit (%GSDP)'!K21</f>
        <v>96972</v>
      </c>
      <c r="L21" s="60">
        <f ca="1">+'Revenue Deficit (%GSDP)'!L21</f>
        <v>99364</v>
      </c>
      <c r="M21" s="60">
        <f ca="1">+'Revenue Deficit (%GSDP)'!M21</f>
        <v>119420</v>
      </c>
      <c r="N21" s="60">
        <f ca="1">+'Revenue Deficit (%GSDP)'!N21</f>
        <v>132872</v>
      </c>
      <c r="O21" s="60">
        <f ca="1">+'Revenue Deficit (%GSDP)'!O21</f>
        <v>153621</v>
      </c>
      <c r="P21" s="62">
        <f ca="1">+'Revenue Deficit (%GSDP)'!P21</f>
        <v>175961</v>
      </c>
      <c r="Q21" s="138">
        <f t="shared" si="8"/>
        <v>15.087197059373247</v>
      </c>
      <c r="R21" s="138">
        <f t="shared" si="9"/>
        <v>15.238739017448335</v>
      </c>
      <c r="S21" s="138">
        <f t="shared" si="10"/>
        <v>16.038625659192466</v>
      </c>
      <c r="T21" s="138">
        <f t="shared" si="11"/>
        <v>13.981736727516331</v>
      </c>
      <c r="U21" s="138">
        <f t="shared" si="12"/>
        <v>12.871048828948162</v>
      </c>
      <c r="V21" s="138">
        <f t="shared" si="13"/>
        <v>13.406285598974099</v>
      </c>
      <c r="W21" s="138">
        <f t="shared" si="13"/>
        <v>14.518972954234178</v>
      </c>
    </row>
    <row r="22" spans="1:23" ht="21.75" customHeight="1">
      <c r="A22" s="52">
        <v>15</v>
      </c>
      <c r="B22" s="53" t="s">
        <v>28</v>
      </c>
      <c r="C22" s="236">
        <v>5075.46</v>
      </c>
      <c r="D22" s="236">
        <v>5623.03</v>
      </c>
      <c r="E22" s="236">
        <v>6077.33</v>
      </c>
      <c r="F22" s="237">
        <v>9560</v>
      </c>
      <c r="G22" s="237">
        <v>10440</v>
      </c>
      <c r="H22" s="237">
        <v>11510</v>
      </c>
      <c r="I22" s="237">
        <v>12300</v>
      </c>
      <c r="J22" s="60">
        <f ca="1">+'Revenue Deficit (%GSDP)'!J22</f>
        <v>19565</v>
      </c>
      <c r="K22" s="60">
        <f ca="1">+'Revenue Deficit (%GSDP)'!K22</f>
        <v>25414</v>
      </c>
      <c r="L22" s="60">
        <f ca="1">+'Revenue Deficit (%GSDP)'!L22</f>
        <v>29126</v>
      </c>
      <c r="M22" s="60">
        <f ca="1">+'Revenue Deficit (%GSDP)'!M22</f>
        <v>33605</v>
      </c>
      <c r="N22" s="60">
        <f ca="1">+'Revenue Deficit (%GSDP)'!N22</f>
        <v>36025</v>
      </c>
      <c r="O22" s="60">
        <f ca="1">+'Revenue Deficit (%GSDP)'!O22</f>
        <v>34965</v>
      </c>
      <c r="P22" s="62">
        <f ca="1">+'Revenue Deficit (%GSDP)'!P22</f>
        <v>39302.375411462228</v>
      </c>
      <c r="Q22" s="138">
        <f t="shared" si="8"/>
        <v>25.941528239202661</v>
      </c>
      <c r="R22" s="138">
        <f t="shared" si="9"/>
        <v>22.125718108129377</v>
      </c>
      <c r="S22" s="138">
        <f t="shared" si="10"/>
        <v>20.865652681453</v>
      </c>
      <c r="T22" s="138">
        <f t="shared" si="11"/>
        <v>28.448147597083768</v>
      </c>
      <c r="U22" s="138">
        <f t="shared" si="12"/>
        <v>28.979875086745317</v>
      </c>
      <c r="V22" s="138">
        <f t="shared" si="13"/>
        <v>32.918632918632916</v>
      </c>
      <c r="W22" s="138">
        <f t="shared" si="13"/>
        <v>31.295818309274004</v>
      </c>
    </row>
    <row r="23" spans="1:23" ht="21.75" customHeight="1">
      <c r="A23" s="52">
        <v>16</v>
      </c>
      <c r="B23" s="53" t="s">
        <v>29</v>
      </c>
      <c r="C23" s="236">
        <v>88491</v>
      </c>
      <c r="D23" s="236">
        <v>105651</v>
      </c>
      <c r="E23" s="236">
        <v>119115</v>
      </c>
      <c r="F23" s="237">
        <v>143020</v>
      </c>
      <c r="G23" s="237">
        <v>158100</v>
      </c>
      <c r="H23" s="237">
        <v>176490</v>
      </c>
      <c r="I23" s="237">
        <v>185310</v>
      </c>
      <c r="J23" s="60">
        <f ca="1">+'Revenue Deficit (%GSDP)'!J23</f>
        <v>329285</v>
      </c>
      <c r="K23" s="60">
        <f ca="1">+'Revenue Deficit (%GSDP)'!K23</f>
        <v>367912</v>
      </c>
      <c r="L23" s="60">
        <f ca="1">+'Revenue Deficit (%GSDP)'!L23</f>
        <v>431262</v>
      </c>
      <c r="M23" s="60">
        <f ca="1">+'Revenue Deficit (%GSDP)'!M23</f>
        <v>521519</v>
      </c>
      <c r="N23" s="171">
        <f ca="1">+'Revenue Deficit (%GSDP)'!N23</f>
        <v>594563</v>
      </c>
      <c r="O23" s="60">
        <f ca="1">+'Revenue Deficit (%GSDP)'!O23</f>
        <v>670016</v>
      </c>
      <c r="P23" s="62">
        <f ca="1">+'Revenue Deficit (%GSDP)'!P23</f>
        <v>776933.66658041347</v>
      </c>
      <c r="Q23" s="138">
        <f t="shared" si="8"/>
        <v>26.873680853971482</v>
      </c>
      <c r="R23" s="138">
        <f t="shared" si="9"/>
        <v>28.716377829480962</v>
      </c>
      <c r="S23" s="138">
        <f t="shared" si="10"/>
        <v>27.620101005885054</v>
      </c>
      <c r="T23" s="138">
        <f t="shared" si="11"/>
        <v>27.423737198452979</v>
      </c>
      <c r="U23" s="172">
        <f t="shared" si="12"/>
        <v>26.590958401380512</v>
      </c>
      <c r="V23" s="138">
        <f t="shared" si="13"/>
        <v>26.341162002101441</v>
      </c>
      <c r="W23" s="138">
        <f t="shared" si="13"/>
        <v>23.851457076846884</v>
      </c>
    </row>
    <row r="24" spans="1:23" ht="21.75" customHeight="1">
      <c r="A24" s="52">
        <v>17</v>
      </c>
      <c r="B24" s="53" t="s">
        <v>30</v>
      </c>
      <c r="C24" s="236">
        <v>28649</v>
      </c>
      <c r="D24" s="236">
        <v>31817</v>
      </c>
      <c r="E24" s="236">
        <v>39230</v>
      </c>
      <c r="F24" s="237">
        <v>46443</v>
      </c>
      <c r="G24" s="237">
        <v>50688</v>
      </c>
      <c r="H24" s="237">
        <v>67742</v>
      </c>
      <c r="I24" s="237">
        <v>75310</v>
      </c>
      <c r="J24" s="60">
        <f ca="1">+'Revenue Deficit (%GSDP)'!J24</f>
        <v>151596</v>
      </c>
      <c r="K24" s="60">
        <f ca="1">+'Revenue Deficit (%GSDP)'!K24</f>
        <v>182522</v>
      </c>
      <c r="L24" s="60">
        <f ca="1">+'Revenue Deficit (%GSDP)'!L24</f>
        <v>223600</v>
      </c>
      <c r="M24" s="60">
        <f ca="1">+'Revenue Deficit (%GSDP)'!M24</f>
        <v>260621</v>
      </c>
      <c r="N24" s="60">
        <f ca="1">+'Revenue Deficit (%GSDP)'!N24</f>
        <v>301959</v>
      </c>
      <c r="O24" s="60">
        <f ca="1">+'Revenue Deficit (%GSDP)'!O24</f>
        <v>345238</v>
      </c>
      <c r="P24" s="62">
        <f ca="1">+'Revenue Deficit (%GSDP)'!P24</f>
        <v>392894</v>
      </c>
      <c r="Q24" s="138">
        <f t="shared" si="8"/>
        <v>18.898255890656745</v>
      </c>
      <c r="R24" s="138">
        <f t="shared" si="9"/>
        <v>17.431871226482286</v>
      </c>
      <c r="S24" s="138">
        <f t="shared" si="10"/>
        <v>17.544722719141323</v>
      </c>
      <c r="T24" s="138">
        <f t="shared" si="11"/>
        <v>17.820129613500065</v>
      </c>
      <c r="U24" s="138">
        <f t="shared" si="12"/>
        <v>16.786384906560162</v>
      </c>
      <c r="V24" s="138">
        <f t="shared" si="13"/>
        <v>19.621826102572719</v>
      </c>
      <c r="W24" s="138">
        <f t="shared" si="13"/>
        <v>19.168019873044635</v>
      </c>
    </row>
    <row r="25" spans="1:23" ht="21.75" customHeight="1">
      <c r="A25" s="52">
        <v>18</v>
      </c>
      <c r="B25" s="53" t="s">
        <v>31</v>
      </c>
      <c r="C25" s="236">
        <v>21614.58</v>
      </c>
      <c r="D25" s="236">
        <v>24083.98</v>
      </c>
      <c r="E25" s="236">
        <v>27165.02</v>
      </c>
      <c r="F25" s="237">
        <v>28655.06</v>
      </c>
      <c r="G25" s="237">
        <v>30663.77</v>
      </c>
      <c r="H25" s="237">
        <v>34868.99</v>
      </c>
      <c r="I25" s="237">
        <v>38930</v>
      </c>
      <c r="J25" s="60">
        <f ca="1">+'Revenue Deficit (%GSDP)'!J25</f>
        <v>83950</v>
      </c>
      <c r="K25" s="60">
        <f ca="1">+'Revenue Deficit (%GSDP)'!K25</f>
        <v>87794</v>
      </c>
      <c r="L25" s="60">
        <f ca="1">+'Revenue Deficit (%GSDP)'!L25</f>
        <v>100621</v>
      </c>
      <c r="M25" s="60">
        <f ca="1">+'Revenue Deficit (%GSDP)'!M25</f>
        <v>127281</v>
      </c>
      <c r="N25" s="60">
        <f ca="1">+'Revenue Deficit (%GSDP)'!N25</f>
        <v>143891</v>
      </c>
      <c r="O25" s="60">
        <f ca="1">+'Revenue Deficit (%GSDP)'!O25</f>
        <v>164876</v>
      </c>
      <c r="P25" s="62">
        <f ca="1">+'Revenue Deficit (%GSDP)'!P25</f>
        <v>189208</v>
      </c>
      <c r="Q25" s="138">
        <f t="shared" si="8"/>
        <v>25.746968433591427</v>
      </c>
      <c r="R25" s="138">
        <f t="shared" si="9"/>
        <v>27.432375788778273</v>
      </c>
      <c r="S25" s="138">
        <f t="shared" si="10"/>
        <v>26.997366354935849</v>
      </c>
      <c r="T25" s="138">
        <f t="shared" si="11"/>
        <v>22.513226640268382</v>
      </c>
      <c r="U25" s="138">
        <f t="shared" si="12"/>
        <v>21.310415522861053</v>
      </c>
      <c r="V25" s="138">
        <f t="shared" si="13"/>
        <v>21.148614716514228</v>
      </c>
      <c r="W25" s="138">
        <f t="shared" si="13"/>
        <v>20.575239947570928</v>
      </c>
    </row>
    <row r="26" spans="1:23" ht="21.75" customHeight="1">
      <c r="A26" s="52">
        <v>19</v>
      </c>
      <c r="B26" s="53" t="s">
        <v>32</v>
      </c>
      <c r="C26" s="236">
        <v>60143</v>
      </c>
      <c r="D26" s="236">
        <v>71550</v>
      </c>
      <c r="E26" s="236">
        <v>83482</v>
      </c>
      <c r="F26" s="237">
        <v>91943</v>
      </c>
      <c r="G26" s="237">
        <v>106279</v>
      </c>
      <c r="H26" s="237">
        <v>106279</v>
      </c>
      <c r="I26" s="237">
        <v>136078</v>
      </c>
      <c r="J26" s="60">
        <f ca="1">+'Revenue Deficit (%GSDP)'!J26</f>
        <v>270629</v>
      </c>
      <c r="K26" s="60">
        <f ca="1">+'Revenue Deficit (%GSDP)'!K26</f>
        <v>310312</v>
      </c>
      <c r="L26" s="60">
        <f ca="1">+'Revenue Deficit (%GSDP)'!L26</f>
        <v>337559</v>
      </c>
      <c r="M26" s="60">
        <f ca="1">+'Revenue Deficit (%GSDP)'!M26</f>
        <v>410703</v>
      </c>
      <c r="N26" s="60">
        <f ca="1">+'Revenue Deficit (%GSDP)'!N26</f>
        <v>458894</v>
      </c>
      <c r="O26" s="60">
        <f ca="1">+'Revenue Deficit (%GSDP)'!O26</f>
        <v>524502</v>
      </c>
      <c r="P26" s="62">
        <f ca="1">+'Revenue Deficit (%GSDP)'!P26</f>
        <v>593811</v>
      </c>
      <c r="Q26" s="138">
        <f t="shared" si="8"/>
        <v>22.223412864105473</v>
      </c>
      <c r="R26" s="138">
        <f t="shared" si="9"/>
        <v>23.057438964654928</v>
      </c>
      <c r="S26" s="138">
        <f t="shared" si="10"/>
        <v>24.731084047529471</v>
      </c>
      <c r="T26" s="138">
        <f t="shared" si="11"/>
        <v>22.386736887726656</v>
      </c>
      <c r="U26" s="138">
        <f t="shared" si="12"/>
        <v>23.15981468487276</v>
      </c>
      <c r="V26" s="138">
        <f t="shared" si="13"/>
        <v>20.262839798513639</v>
      </c>
      <c r="W26" s="138">
        <f t="shared" si="13"/>
        <v>22.91604567783352</v>
      </c>
    </row>
    <row r="27" spans="1:23" ht="21.75" customHeight="1">
      <c r="A27" s="52">
        <v>20</v>
      </c>
      <c r="B27" s="53" t="s">
        <v>33</v>
      </c>
      <c r="C27" s="236">
        <v>55409.57</v>
      </c>
      <c r="D27" s="236">
        <v>63269.68</v>
      </c>
      <c r="E27" s="236">
        <v>70969.75</v>
      </c>
      <c r="F27" s="237">
        <v>78673.23</v>
      </c>
      <c r="G27" s="237">
        <v>89418.19</v>
      </c>
      <c r="H27" s="237">
        <v>101179.2</v>
      </c>
      <c r="I27" s="237">
        <v>114372.11</v>
      </c>
      <c r="J27" s="60">
        <f ca="1">+'Revenue Deficit (%GSDP)'!J27</f>
        <v>175141</v>
      </c>
      <c r="K27" s="60">
        <f ca="1">+'Revenue Deficit (%GSDP)'!K27</f>
        <v>202783</v>
      </c>
      <c r="L27" s="60">
        <f ca="1">+'Revenue Deficit (%GSDP)'!L27</f>
        <v>231999</v>
      </c>
      <c r="M27" s="60">
        <f ca="1">+'Revenue Deficit (%GSDP)'!M27</f>
        <v>263773</v>
      </c>
      <c r="N27" s="60">
        <f ca="1">+'Revenue Deficit (%GSDP)'!N27</f>
        <v>307906</v>
      </c>
      <c r="O27" s="60">
        <f ca="1">+'Revenue Deficit (%GSDP)'!O27</f>
        <v>349338</v>
      </c>
      <c r="P27" s="62">
        <f ca="1">+'Revenue Deficit (%GSDP)'!P27</f>
        <v>401072.42420974676</v>
      </c>
      <c r="Q27" s="138">
        <f t="shared" si="8"/>
        <v>31.637120948264542</v>
      </c>
      <c r="R27" s="138">
        <f t="shared" si="9"/>
        <v>31.200682502971155</v>
      </c>
      <c r="S27" s="138">
        <f t="shared" si="10"/>
        <v>30.590541338540252</v>
      </c>
      <c r="T27" s="138">
        <f t="shared" si="11"/>
        <v>29.826111846170761</v>
      </c>
      <c r="U27" s="138">
        <f t="shared" si="12"/>
        <v>29.040742954018434</v>
      </c>
      <c r="V27" s="138">
        <f t="shared" si="13"/>
        <v>28.963124538412654</v>
      </c>
      <c r="W27" s="138">
        <f t="shared" si="13"/>
        <v>28.516572842262377</v>
      </c>
    </row>
    <row r="28" spans="1:23" ht="21.75" customHeight="1">
      <c r="A28" s="52">
        <v>21</v>
      </c>
      <c r="B28" s="53" t="s">
        <v>34</v>
      </c>
      <c r="C28" s="236">
        <v>60889.85</v>
      </c>
      <c r="D28" s="236">
        <v>64156.28</v>
      </c>
      <c r="E28" s="236">
        <v>71576.41</v>
      </c>
      <c r="F28" s="237">
        <v>78504.31</v>
      </c>
      <c r="G28" s="237">
        <v>84756.54</v>
      </c>
      <c r="H28" s="237">
        <v>90080.17</v>
      </c>
      <c r="I28" s="237">
        <v>105685.63</v>
      </c>
      <c r="J28" s="60">
        <f ca="1">+'Revenue Deficit (%GSDP)'!J28</f>
        <v>161479</v>
      </c>
      <c r="K28" s="60">
        <f ca="1">+'Revenue Deficit (%GSDP)'!K28</f>
        <v>197276</v>
      </c>
      <c r="L28" s="60">
        <f ca="1">+'Revenue Deficit (%GSDP)'!L28</f>
        <v>227557</v>
      </c>
      <c r="M28" s="60">
        <f ca="1">+'Revenue Deficit (%GSDP)'!M28</f>
        <v>263396</v>
      </c>
      <c r="N28" s="60">
        <f ca="1">+'Revenue Deficit (%GSDP)'!N28</f>
        <v>311670</v>
      </c>
      <c r="O28" s="60">
        <f ca="1">+'Revenue Deficit (%GSDP)'!O28</f>
        <v>372171</v>
      </c>
      <c r="P28" s="62">
        <f ca="1">+'Revenue Deficit (%GSDP)'!P28</f>
        <v>450900</v>
      </c>
      <c r="Q28" s="138">
        <f t="shared" si="8"/>
        <v>37.707596653434813</v>
      </c>
      <c r="R28" s="138">
        <f t="shared" si="9"/>
        <v>32.521077069689163</v>
      </c>
      <c r="S28" s="138">
        <f t="shared" si="10"/>
        <v>31.45427738984079</v>
      </c>
      <c r="T28" s="138">
        <f t="shared" si="11"/>
        <v>29.804670534100747</v>
      </c>
      <c r="U28" s="138">
        <f t="shared" si="12"/>
        <v>27.194320916353831</v>
      </c>
      <c r="V28" s="138">
        <f t="shared" si="13"/>
        <v>24.203973442315494</v>
      </c>
      <c r="W28" s="138">
        <f t="shared" si="13"/>
        <v>23.438817919716122</v>
      </c>
    </row>
    <row r="29" spans="1:23" ht="21.75" customHeight="1">
      <c r="A29" s="52">
        <v>22</v>
      </c>
      <c r="B29" s="53" t="s">
        <v>35</v>
      </c>
      <c r="C29" s="236">
        <v>142382.59</v>
      </c>
      <c r="D29" s="236">
        <v>160672.54</v>
      </c>
      <c r="E29" s="236">
        <v>181447.34</v>
      </c>
      <c r="F29" s="237">
        <v>203097.02</v>
      </c>
      <c r="G29" s="237">
        <v>226443.18</v>
      </c>
      <c r="H29" s="237">
        <v>253084.75</v>
      </c>
      <c r="I29" s="237">
        <v>294060</v>
      </c>
      <c r="J29" s="60">
        <f ca="1">+'Revenue Deficit (%GSDP)'!J29</f>
        <v>684817</v>
      </c>
      <c r="K29" s="60">
        <f ca="1">+'Revenue Deficit (%GSDP)'!K29</f>
        <v>753969</v>
      </c>
      <c r="L29" s="60">
        <f ca="1">+'Revenue Deficit (%GSDP)'!L29</f>
        <v>855751</v>
      </c>
      <c r="M29" s="60">
        <f ca="1">+'Revenue Deficit (%GSDP)'!M29</f>
        <v>1035086</v>
      </c>
      <c r="N29" s="60">
        <f ca="1">+'Revenue Deficit (%GSDP)'!N29</f>
        <v>1199548</v>
      </c>
      <c r="O29" s="60">
        <f ca="1">+'Revenue Deficit (%GSDP)'!O29</f>
        <v>1372644</v>
      </c>
      <c r="P29" s="62">
        <f ca="1">+'Revenue Deficit (%GSDP)'!P29</f>
        <v>1586151.7193253073</v>
      </c>
      <c r="Q29" s="138">
        <f t="shared" si="8"/>
        <v>20.791334035224008</v>
      </c>
      <c r="R29" s="138">
        <f t="shared" si="9"/>
        <v>21.310231587770851</v>
      </c>
      <c r="S29" s="138">
        <f t="shared" si="10"/>
        <v>21.203286937438577</v>
      </c>
      <c r="T29" s="138">
        <f t="shared" si="11"/>
        <v>19.621270116685956</v>
      </c>
      <c r="U29" s="138">
        <f t="shared" si="12"/>
        <v>18.877375478096749</v>
      </c>
      <c r="V29" s="138">
        <f t="shared" si="13"/>
        <v>18.437755893006489</v>
      </c>
      <c r="W29" s="138">
        <f t="shared" si="13"/>
        <v>18.539210115731091</v>
      </c>
    </row>
    <row r="30" spans="1:23" ht="21.75" customHeight="1">
      <c r="A30" s="52">
        <v>23</v>
      </c>
      <c r="B30" s="53" t="s">
        <v>74</v>
      </c>
      <c r="C30" s="236">
        <v>43660.69</v>
      </c>
      <c r="D30" s="236">
        <v>44555.24</v>
      </c>
      <c r="E30" s="236">
        <v>40613.480000000003</v>
      </c>
      <c r="F30" s="237">
        <v>42191.34</v>
      </c>
      <c r="G30" s="237">
        <v>42466.76</v>
      </c>
      <c r="H30" s="237">
        <v>42888.71</v>
      </c>
      <c r="I30" s="237">
        <v>48833.84</v>
      </c>
      <c r="J30" s="60">
        <f ca="1">+'Revenue Deficit (%GSDP)'!J30</f>
        <v>129274</v>
      </c>
      <c r="K30" s="60">
        <f ca="1">+'Revenue Deficit (%GSDP)'!K30</f>
        <v>148491</v>
      </c>
      <c r="L30" s="60">
        <f ca="1">+'Revenue Deficit (%GSDP)'!L30</f>
        <v>162946</v>
      </c>
      <c r="M30" s="60">
        <f ca="1">+'Revenue Deficit (%GSDP)'!M30</f>
        <v>197530</v>
      </c>
      <c r="N30" s="60">
        <f ca="1">+'Revenue Deficit (%GSDP)'!N30</f>
        <v>214583</v>
      </c>
      <c r="O30" s="60">
        <f ca="1">+'Revenue Deficit (%GSDP)'!O30</f>
        <v>255459</v>
      </c>
      <c r="P30" s="62">
        <f ca="1">+'Revenue Deficit (%GSDP)'!P30</f>
        <v>288414</v>
      </c>
      <c r="Q30" s="138">
        <f t="shared" si="8"/>
        <v>33.773759611368106</v>
      </c>
      <c r="R30" s="138">
        <f t="shared" si="9"/>
        <v>30.005347125415007</v>
      </c>
      <c r="S30" s="138">
        <f t="shared" si="10"/>
        <v>24.924502595952035</v>
      </c>
      <c r="T30" s="138">
        <f t="shared" si="11"/>
        <v>21.359459322634535</v>
      </c>
      <c r="U30" s="138">
        <f t="shared" si="12"/>
        <v>19.790365499596891</v>
      </c>
      <c r="V30" s="138">
        <f t="shared" si="13"/>
        <v>16.788881973232495</v>
      </c>
      <c r="W30" s="138">
        <f t="shared" si="13"/>
        <v>16.93185490302135</v>
      </c>
    </row>
    <row r="31" spans="1:23" ht="21.75" customHeight="1">
      <c r="A31" s="52">
        <v>24</v>
      </c>
      <c r="B31" s="53" t="s">
        <v>36</v>
      </c>
      <c r="C31" s="236">
        <v>55982</v>
      </c>
      <c r="D31" s="236">
        <v>61850</v>
      </c>
      <c r="E31" s="236">
        <v>67971</v>
      </c>
      <c r="F31" s="237">
        <v>74777</v>
      </c>
      <c r="G31" s="237">
        <v>83099</v>
      </c>
      <c r="H31" s="237">
        <v>92282</v>
      </c>
      <c r="I31" s="237">
        <v>102282</v>
      </c>
      <c r="J31" s="60">
        <f ca="1">+'Revenue Deficit (%GSDP)'!J31</f>
        <v>152245</v>
      </c>
      <c r="K31" s="60">
        <f ca="1">+'Revenue Deficit (%GSDP)'!K31</f>
        <v>174039</v>
      </c>
      <c r="L31" s="60">
        <f ca="1">+'Revenue Deficit (%GSDP)'!L31</f>
        <v>197500</v>
      </c>
      <c r="M31" s="60">
        <f ca="1">+'Revenue Deficit (%GSDP)'!M31</f>
        <v>226204</v>
      </c>
      <c r="N31" s="60">
        <f ca="1">+'Revenue Deficit (%GSDP)'!N31</f>
        <v>256430</v>
      </c>
      <c r="O31" s="60">
        <f ca="1">+'Revenue Deficit (%GSDP)'!O31</f>
        <v>286809</v>
      </c>
      <c r="P31" s="62">
        <f ca="1">+'Revenue Deficit (%GSDP)'!P31</f>
        <v>319117</v>
      </c>
      <c r="Q31" s="138">
        <f t="shared" si="8"/>
        <v>36.770994121317614</v>
      </c>
      <c r="R31" s="138">
        <f t="shared" si="9"/>
        <v>35.538011595102247</v>
      </c>
      <c r="S31" s="138">
        <f t="shared" si="10"/>
        <v>34.415696202531649</v>
      </c>
      <c r="T31" s="138">
        <f t="shared" si="11"/>
        <v>33.057328782868559</v>
      </c>
      <c r="U31" s="138">
        <f t="shared" si="12"/>
        <v>32.40611472916585</v>
      </c>
      <c r="V31" s="138">
        <f t="shared" si="13"/>
        <v>32.17541987873463</v>
      </c>
      <c r="W31" s="138">
        <f t="shared" si="13"/>
        <v>32.051567293500504</v>
      </c>
    </row>
    <row r="32" spans="1:23" ht="21.75" customHeight="1">
      <c r="A32" s="52">
        <v>25</v>
      </c>
      <c r="B32" s="53" t="s">
        <v>37</v>
      </c>
      <c r="C32" s="236">
        <v>77137.88</v>
      </c>
      <c r="D32" s="236">
        <v>84022.8</v>
      </c>
      <c r="E32" s="236">
        <v>91532.93</v>
      </c>
      <c r="F32" s="237">
        <v>99285</v>
      </c>
      <c r="G32" s="237">
        <v>106560.16</v>
      </c>
      <c r="H32" s="237">
        <v>117808.91</v>
      </c>
      <c r="I32" s="237">
        <v>131483.78</v>
      </c>
      <c r="J32" s="60">
        <f ca="1">+'Revenue Deficit (%GSDP)'!J32</f>
        <v>194822</v>
      </c>
      <c r="K32" s="60">
        <f ca="1">+'Revenue Deficit (%GSDP)'!K32</f>
        <v>230949</v>
      </c>
      <c r="L32" s="60">
        <f ca="1">+'Revenue Deficit (%GSDP)'!L32</f>
        <v>265825</v>
      </c>
      <c r="M32" s="60">
        <f ca="1">+'Revenue Deficit (%GSDP)'!M32</f>
        <v>338348</v>
      </c>
      <c r="N32" s="60">
        <f ca="1">+'Revenue Deficit (%GSDP)'!N32</f>
        <v>403422</v>
      </c>
      <c r="O32" s="60">
        <f ca="1">+'Revenue Deficit (%GSDP)'!O32</f>
        <v>459215</v>
      </c>
      <c r="P32" s="62">
        <f ca="1">+'Revenue Deficit (%GSDP)'!P32</f>
        <v>513688</v>
      </c>
      <c r="Q32" s="138">
        <f t="shared" si="8"/>
        <v>39.594029421728557</v>
      </c>
      <c r="R32" s="138">
        <f t="shared" si="9"/>
        <v>36.381538781289372</v>
      </c>
      <c r="S32" s="138">
        <f t="shared" si="10"/>
        <v>34.433529577729708</v>
      </c>
      <c r="T32" s="138">
        <f t="shared" si="11"/>
        <v>29.344048139785073</v>
      </c>
      <c r="U32" s="138">
        <f t="shared" si="12"/>
        <v>26.414067651243613</v>
      </c>
      <c r="V32" s="138">
        <f t="shared" si="13"/>
        <v>25.654412421197044</v>
      </c>
      <c r="W32" s="138">
        <f t="shared" si="13"/>
        <v>25.596038840697076</v>
      </c>
    </row>
    <row r="33" spans="1:23" ht="21.75" customHeight="1">
      <c r="A33" s="52">
        <v>26</v>
      </c>
      <c r="B33" s="53" t="s">
        <v>38</v>
      </c>
      <c r="C33" s="236">
        <v>71071.460000000006</v>
      </c>
      <c r="D33" s="236">
        <v>83661.81</v>
      </c>
      <c r="E33" s="236">
        <v>99180.05</v>
      </c>
      <c r="F33" s="237">
        <v>111657.41</v>
      </c>
      <c r="G33" s="237">
        <v>127127.9</v>
      </c>
      <c r="H33" s="237">
        <v>147840.04</v>
      </c>
      <c r="I33" s="237">
        <v>174300</v>
      </c>
      <c r="J33" s="60">
        <f ca="1">+'Revenue Deficit (%GSDP)'!J33</f>
        <v>350819</v>
      </c>
      <c r="K33" s="60">
        <f ca="1">+'Revenue Deficit (%GSDP)'!K33</f>
        <v>401336</v>
      </c>
      <c r="L33" s="60">
        <f ca="1">+'Revenue Deficit (%GSDP)'!L33</f>
        <v>479733</v>
      </c>
      <c r="M33" s="60">
        <f ca="1">+'Revenue Deficit (%GSDP)'!M33</f>
        <v>584896</v>
      </c>
      <c r="N33" s="60">
        <f ca="1">+'Revenue Deficit (%GSDP)'!N33</f>
        <v>665312</v>
      </c>
      <c r="O33" s="60">
        <f ca="1">+'Revenue Deficit (%GSDP)'!O33</f>
        <v>744474</v>
      </c>
      <c r="P33" s="62">
        <f ca="1">+'Revenue Deficit (%GSDP)'!P33</f>
        <v>850319</v>
      </c>
      <c r="Q33" s="138">
        <f t="shared" si="8"/>
        <v>20.25872600970871</v>
      </c>
      <c r="R33" s="138">
        <f t="shared" si="9"/>
        <v>20.845827436362548</v>
      </c>
      <c r="S33" s="138">
        <f t="shared" si="10"/>
        <v>20.674010334915462</v>
      </c>
      <c r="T33" s="138">
        <f t="shared" si="11"/>
        <v>19.090130553123974</v>
      </c>
      <c r="U33" s="138">
        <f t="shared" si="12"/>
        <v>19.108012481362127</v>
      </c>
      <c r="V33" s="138">
        <f t="shared" si="13"/>
        <v>19.858321445745588</v>
      </c>
      <c r="W33" s="138">
        <f t="shared" si="13"/>
        <v>20.498189502998287</v>
      </c>
    </row>
    <row r="34" spans="1:23" ht="21.75" customHeight="1">
      <c r="A34" s="52">
        <v>27</v>
      </c>
      <c r="B34" s="53" t="s">
        <v>39</v>
      </c>
      <c r="C34" s="236">
        <v>147164.72</v>
      </c>
      <c r="D34" s="236">
        <v>157016.25</v>
      </c>
      <c r="E34" s="236">
        <v>174971.63</v>
      </c>
      <c r="F34" s="237">
        <v>196639.91</v>
      </c>
      <c r="G34" s="237">
        <v>210404.83</v>
      </c>
      <c r="H34" s="237">
        <v>228476.16</v>
      </c>
      <c r="I34" s="237">
        <v>228476.16</v>
      </c>
      <c r="J34" s="60">
        <f ca="1">+'Revenue Deficit (%GSDP)'!J34</f>
        <v>383026</v>
      </c>
      <c r="K34" s="60">
        <f ca="1">+'Revenue Deficit (%GSDP)'!K34</f>
        <v>444685</v>
      </c>
      <c r="L34" s="60">
        <f ca="1">+'Revenue Deficit (%GSDP)'!L34</f>
        <v>523394</v>
      </c>
      <c r="M34" s="60">
        <f ca="1">+'Revenue Deficit (%GSDP)'!M34</f>
        <v>600164</v>
      </c>
      <c r="N34" s="60">
        <f ca="1">+'Revenue Deficit (%GSDP)'!N34</f>
        <v>679007</v>
      </c>
      <c r="O34" s="60">
        <f ca="1">+'Revenue Deficit (%GSDP)'!O34</f>
        <v>768930</v>
      </c>
      <c r="P34" s="62">
        <f ca="1">+'Revenue Deficit (%GSDP)'!P34</f>
        <v>886410</v>
      </c>
      <c r="Q34" s="138">
        <f t="shared" si="8"/>
        <v>38.421600622412058</v>
      </c>
      <c r="R34" s="138">
        <f t="shared" si="9"/>
        <v>35.309544958791058</v>
      </c>
      <c r="S34" s="138">
        <f t="shared" si="10"/>
        <v>33.430194079412452</v>
      </c>
      <c r="T34" s="138">
        <f t="shared" si="11"/>
        <v>32.764362740850835</v>
      </c>
      <c r="U34" s="138">
        <f t="shared" si="12"/>
        <v>30.987137098733886</v>
      </c>
      <c r="V34" s="138">
        <f t="shared" si="13"/>
        <v>29.713518785845267</v>
      </c>
      <c r="W34" s="138">
        <f t="shared" si="13"/>
        <v>25.775449284191289</v>
      </c>
    </row>
    <row r="35" spans="1:23" ht="21.75" customHeight="1">
      <c r="A35" s="52">
        <v>28</v>
      </c>
      <c r="B35" s="53" t="s">
        <v>40</v>
      </c>
      <c r="C35" s="236">
        <v>132473.22</v>
      </c>
      <c r="D35" s="236">
        <v>145075.16</v>
      </c>
      <c r="E35" s="236">
        <v>167682.22</v>
      </c>
      <c r="F35" s="237">
        <v>187387.4</v>
      </c>
      <c r="G35" s="237">
        <v>207702.04</v>
      </c>
      <c r="H35" s="237">
        <v>229778.76</v>
      </c>
      <c r="I35" s="237">
        <v>247422.64</v>
      </c>
      <c r="J35" s="60">
        <f ca="1">+'Revenue Deficit (%GSDP)'!J35</f>
        <v>299483</v>
      </c>
      <c r="K35" s="60">
        <f ca="1">+'Revenue Deficit (%GSDP)'!K35</f>
        <v>341942</v>
      </c>
      <c r="L35" s="60">
        <f ca="1">+'Revenue Deficit (%GSDP)'!L35</f>
        <v>398880</v>
      </c>
      <c r="M35" s="60">
        <f ca="1">+'Revenue Deficit (%GSDP)'!M35</f>
        <v>460959</v>
      </c>
      <c r="N35" s="60">
        <f ca="1">+'Revenue Deficit (%GSDP)'!N35</f>
        <v>538209</v>
      </c>
      <c r="O35" s="60">
        <f ca="1">+'Revenue Deficit (%GSDP)'!O35</f>
        <v>620160</v>
      </c>
      <c r="P35" s="62">
        <f ca="1">+'Revenue Deficit (%GSDP)'!P35</f>
        <v>707848</v>
      </c>
      <c r="Q35" s="138">
        <f t="shared" si="8"/>
        <v>44.233969874750819</v>
      </c>
      <c r="R35" s="138">
        <f t="shared" si="9"/>
        <v>42.426832620736846</v>
      </c>
      <c r="S35" s="138">
        <f t="shared" si="10"/>
        <v>42.038262133975131</v>
      </c>
      <c r="T35" s="138">
        <f t="shared" si="11"/>
        <v>40.651641469197905</v>
      </c>
      <c r="U35" s="138">
        <f t="shared" si="12"/>
        <v>38.591335336272714</v>
      </c>
      <c r="V35" s="138">
        <f t="shared" si="13"/>
        <v>37.0515286377709</v>
      </c>
      <c r="W35" s="138">
        <f t="shared" si="13"/>
        <v>34.954204857540041</v>
      </c>
    </row>
    <row r="36" spans="1:23" s="59" customFormat="1" ht="21.75" customHeight="1">
      <c r="A36" s="50"/>
      <c r="B36" s="50" t="s">
        <v>192</v>
      </c>
      <c r="C36" s="238">
        <f t="shared" ref="C36:J36" si="14">SUM(C19:C35)</f>
        <v>1129206.8500000001</v>
      </c>
      <c r="D36" s="238">
        <f t="shared" si="14"/>
        <v>1260214.96</v>
      </c>
      <c r="E36" s="238">
        <f t="shared" si="14"/>
        <v>1417709.6700000002</v>
      </c>
      <c r="F36" s="238">
        <f t="shared" si="14"/>
        <v>1587122.7899999996</v>
      </c>
      <c r="G36" s="238">
        <f t="shared" si="14"/>
        <v>1746161.5699999998</v>
      </c>
      <c r="H36" s="238">
        <f t="shared" si="14"/>
        <v>1939114.89</v>
      </c>
      <c r="I36" s="238">
        <f t="shared" si="14"/>
        <v>2174999.35</v>
      </c>
      <c r="J36" s="58">
        <f t="shared" si="14"/>
        <v>3944879</v>
      </c>
      <c r="K36" s="58">
        <f t="shared" ref="K36:P36" si="15">SUM(K19:K35)</f>
        <v>4535440</v>
      </c>
      <c r="L36" s="58">
        <f t="shared" si="15"/>
        <v>5204876</v>
      </c>
      <c r="M36" s="58">
        <f t="shared" si="15"/>
        <v>6231556</v>
      </c>
      <c r="N36" s="58">
        <f t="shared" si="15"/>
        <v>7154201</v>
      </c>
      <c r="O36" s="58">
        <f t="shared" si="15"/>
        <v>8190822</v>
      </c>
      <c r="P36" s="239">
        <f t="shared" si="15"/>
        <v>9397731.1855269298</v>
      </c>
      <c r="Q36" s="139">
        <f t="shared" si="8"/>
        <v>28.624625748977344</v>
      </c>
      <c r="R36" s="139">
        <f t="shared" si="9"/>
        <v>27.785947118691901</v>
      </c>
      <c r="S36" s="139">
        <f>+E36/L36*100</f>
        <v>27.23810653702413</v>
      </c>
      <c r="T36" s="139">
        <f>+F36/M36*100</f>
        <v>25.469125046778036</v>
      </c>
      <c r="U36" s="139">
        <f>+G36/N36*100</f>
        <v>24.407499453817412</v>
      </c>
      <c r="V36" s="139">
        <f>+H36/O36*100</f>
        <v>23.674240387594796</v>
      </c>
      <c r="W36" s="139">
        <f>+I36/P36*100</f>
        <v>23.143877038637044</v>
      </c>
    </row>
    <row r="37" spans="1:23" ht="21.75" customHeight="1">
      <c r="A37" s="53"/>
      <c r="B37" s="50" t="s">
        <v>53</v>
      </c>
      <c r="C37" s="236"/>
      <c r="D37" s="236"/>
      <c r="E37" s="236"/>
      <c r="F37" s="237"/>
      <c r="G37" s="237"/>
      <c r="H37" s="237"/>
      <c r="I37" s="237"/>
      <c r="J37" s="60"/>
      <c r="K37" s="60"/>
      <c r="L37" s="60"/>
      <c r="M37" s="60"/>
      <c r="N37" s="60"/>
      <c r="O37" s="60"/>
      <c r="P37" s="62">
        <f ca="1">+'Revenue Deficit (%GSDP)'!P37</f>
        <v>0</v>
      </c>
      <c r="Q37" s="138"/>
      <c r="R37" s="138"/>
      <c r="S37" s="138"/>
      <c r="T37" s="138"/>
      <c r="U37" s="138"/>
      <c r="V37" s="138"/>
      <c r="W37" s="138"/>
    </row>
    <row r="38" spans="1:23" ht="21.75" customHeight="1">
      <c r="A38" s="52">
        <v>29</v>
      </c>
      <c r="B38" s="53" t="s">
        <v>43</v>
      </c>
      <c r="C38" s="236">
        <v>25339.18</v>
      </c>
      <c r="D38" s="236">
        <v>25381.86</v>
      </c>
      <c r="E38" s="236">
        <v>26544.39</v>
      </c>
      <c r="F38" s="237">
        <v>30140.27</v>
      </c>
      <c r="G38" s="237">
        <v>29608.47</v>
      </c>
      <c r="H38" s="237">
        <v>29242.89</v>
      </c>
      <c r="I38" s="237">
        <v>27915.89</v>
      </c>
      <c r="J38" s="60">
        <f ca="1">+'Revenue Deficit (%GSDP)'!J38</f>
        <v>157947</v>
      </c>
      <c r="K38" s="60">
        <f ca="1">+'Revenue Deficit (%GSDP)'!K38</f>
        <v>189533</v>
      </c>
      <c r="L38" s="60">
        <f ca="1">+'Revenue Deficit (%GSDP)'!L38</f>
        <v>217619</v>
      </c>
      <c r="M38" s="60">
        <f ca="1">+'Revenue Deficit (%GSDP)'!M38</f>
        <v>252753</v>
      </c>
      <c r="N38" s="60">
        <f ca="1">+'Revenue Deficit (%GSDP)'!N38</f>
        <v>296957</v>
      </c>
      <c r="O38" s="60">
        <f ca="1">+'Revenue Deficit (%GSDP)'!O38</f>
        <v>348221</v>
      </c>
      <c r="P38" s="62">
        <f ca="1">+'Revenue Deficit (%GSDP)'!P38</f>
        <v>404576</v>
      </c>
      <c r="Q38" s="138">
        <f t="shared" ref="Q38:S40" si="16">+C38/J38*100</f>
        <v>16.042837154235283</v>
      </c>
      <c r="R38" s="138">
        <f t="shared" si="16"/>
        <v>13.391789292629779</v>
      </c>
      <c r="S38" s="138">
        <f t="shared" si="16"/>
        <v>12.197643588105818</v>
      </c>
      <c r="T38" s="138">
        <f t="shared" ref="T38:W40" si="17">+F38/M38*100</f>
        <v>11.924792188421108</v>
      </c>
      <c r="U38" s="138">
        <f t="shared" si="17"/>
        <v>9.9706253767380471</v>
      </c>
      <c r="V38" s="138">
        <f t="shared" si="17"/>
        <v>8.3977962271086461</v>
      </c>
      <c r="W38" s="138">
        <f t="shared" si="17"/>
        <v>6.9000360871628574</v>
      </c>
    </row>
    <row r="39" spans="1:23" ht="21.75" customHeight="1">
      <c r="A39" s="52">
        <v>30</v>
      </c>
      <c r="B39" s="53" t="s">
        <v>44</v>
      </c>
      <c r="C39" s="236">
        <v>2923</v>
      </c>
      <c r="D39" s="236">
        <v>2805.94</v>
      </c>
      <c r="E39" s="236">
        <v>3334.25</v>
      </c>
      <c r="F39" s="236">
        <v>4040.48</v>
      </c>
      <c r="G39" s="236">
        <v>4671.32</v>
      </c>
      <c r="H39" s="237">
        <v>5012</v>
      </c>
      <c r="I39" s="237">
        <v>5571</v>
      </c>
      <c r="J39" s="60">
        <f ca="1">+'Revenue Deficit (%GSDP)'!J39</f>
        <v>9251</v>
      </c>
      <c r="K39" s="60">
        <f ca="1">+'Revenue Deficit (%GSDP)'!K39</f>
        <v>10050</v>
      </c>
      <c r="L39" s="60">
        <f ca="1">+'Revenue Deficit (%GSDP)'!L39</f>
        <v>12304</v>
      </c>
      <c r="M39" s="60">
        <f ca="1">+'Revenue Deficit (%GSDP)'!M39</f>
        <v>13092</v>
      </c>
      <c r="N39" s="60">
        <f ca="1">+'Revenue Deficit (%GSDP)'!N39</f>
        <v>14630</v>
      </c>
      <c r="O39" s="60">
        <f ca="1">+'Revenue Deficit (%GSDP)'!O39</f>
        <v>17192</v>
      </c>
      <c r="P39" s="62">
        <f ca="1">+'Revenue Deficit (%GSDP)'!P39</f>
        <v>21500</v>
      </c>
      <c r="Q39" s="138">
        <f t="shared" si="16"/>
        <v>31.596584153064533</v>
      </c>
      <c r="R39" s="138">
        <f t="shared" si="16"/>
        <v>27.919800995024875</v>
      </c>
      <c r="S39" s="138">
        <f t="shared" si="16"/>
        <v>27.098910923276982</v>
      </c>
      <c r="T39" s="138">
        <f t="shared" si="17"/>
        <v>30.862205927283838</v>
      </c>
      <c r="U39" s="138">
        <f t="shared" si="17"/>
        <v>31.929733424470264</v>
      </c>
      <c r="V39" s="138">
        <f t="shared" si="17"/>
        <v>29.153094462540718</v>
      </c>
      <c r="W39" s="138">
        <f t="shared" si="17"/>
        <v>25.91162790697674</v>
      </c>
    </row>
    <row r="40" spans="1:23" s="59" customFormat="1" ht="21.75" customHeight="1">
      <c r="A40" s="50"/>
      <c r="B40" s="50" t="s">
        <v>64</v>
      </c>
      <c r="C40" s="238">
        <f t="shared" ref="C40:P40" si="18">SUM(C38:C39)</f>
        <v>28262.18</v>
      </c>
      <c r="D40" s="238">
        <f t="shared" si="18"/>
        <v>28187.8</v>
      </c>
      <c r="E40" s="238">
        <f t="shared" si="18"/>
        <v>29878.639999999999</v>
      </c>
      <c r="F40" s="238">
        <f t="shared" si="18"/>
        <v>34180.75</v>
      </c>
      <c r="G40" s="238">
        <f t="shared" si="18"/>
        <v>34279.79</v>
      </c>
      <c r="H40" s="238">
        <f t="shared" si="18"/>
        <v>34254.89</v>
      </c>
      <c r="I40" s="238">
        <f t="shared" si="18"/>
        <v>33486.89</v>
      </c>
      <c r="J40" s="58">
        <f t="shared" si="18"/>
        <v>167198</v>
      </c>
      <c r="K40" s="58">
        <f t="shared" si="18"/>
        <v>199583</v>
      </c>
      <c r="L40" s="58">
        <f t="shared" si="18"/>
        <v>229923</v>
      </c>
      <c r="M40" s="58">
        <f t="shared" si="18"/>
        <v>265845</v>
      </c>
      <c r="N40" s="58">
        <f t="shared" si="18"/>
        <v>311587</v>
      </c>
      <c r="O40" s="58">
        <f t="shared" si="18"/>
        <v>365413</v>
      </c>
      <c r="P40" s="239">
        <f t="shared" si="18"/>
        <v>426076</v>
      </c>
      <c r="Q40" s="139">
        <f t="shared" si="16"/>
        <v>16.903419897367193</v>
      </c>
      <c r="R40" s="139">
        <f t="shared" si="16"/>
        <v>14.12334717886794</v>
      </c>
      <c r="S40" s="139">
        <f t="shared" si="16"/>
        <v>12.995063564758635</v>
      </c>
      <c r="T40" s="139">
        <f t="shared" si="17"/>
        <v>12.857398107920028</v>
      </c>
      <c r="U40" s="139">
        <f t="shared" si="17"/>
        <v>11.001675294540531</v>
      </c>
      <c r="V40" s="139">
        <f t="shared" si="17"/>
        <v>9.3742942916645013</v>
      </c>
      <c r="W40" s="139">
        <f t="shared" si="17"/>
        <v>7.8593701593143006</v>
      </c>
    </row>
    <row r="41" spans="1:23">
      <c r="A41" s="53"/>
      <c r="B41" s="53"/>
      <c r="C41" s="236"/>
      <c r="D41" s="236"/>
      <c r="E41" s="236"/>
      <c r="F41" s="237"/>
      <c r="G41" s="237"/>
      <c r="H41" s="237"/>
      <c r="I41" s="237"/>
      <c r="J41" s="60"/>
      <c r="K41" s="60"/>
      <c r="L41" s="60"/>
      <c r="M41" s="60"/>
      <c r="N41" s="60"/>
      <c r="O41" s="60"/>
      <c r="P41" s="62"/>
      <c r="Q41" s="138"/>
      <c r="R41" s="138"/>
      <c r="S41" s="138"/>
      <c r="T41" s="138"/>
      <c r="U41" s="138"/>
      <c r="V41" s="138"/>
      <c r="W41" s="138"/>
    </row>
    <row r="42" spans="1:23" s="59" customFormat="1" ht="12.75">
      <c r="A42" s="50"/>
      <c r="B42" s="50" t="s">
        <v>65</v>
      </c>
      <c r="C42" s="238">
        <f t="shared" ref="C42:I42" si="19">+C17+C36+C40</f>
        <v>1249903.04</v>
      </c>
      <c r="D42" s="238">
        <f t="shared" si="19"/>
        <v>1391518.92</v>
      </c>
      <c r="E42" s="238">
        <f t="shared" si="19"/>
        <v>1566206.06</v>
      </c>
      <c r="F42" s="238">
        <f t="shared" si="19"/>
        <v>1754898.7599999995</v>
      </c>
      <c r="G42" s="238">
        <f t="shared" si="19"/>
        <v>2254856.7599999998</v>
      </c>
      <c r="H42" s="238">
        <f t="shared" si="19"/>
        <v>2129445.6799999997</v>
      </c>
      <c r="I42" s="238">
        <f t="shared" si="19"/>
        <v>2385715.0700000003</v>
      </c>
      <c r="J42" s="58">
        <f t="shared" ref="J42:O42" si="20">+J17+J36+J40</f>
        <v>4347593</v>
      </c>
      <c r="K42" s="58">
        <f t="shared" si="20"/>
        <v>5011438</v>
      </c>
      <c r="L42" s="58">
        <f t="shared" si="20"/>
        <v>5763838</v>
      </c>
      <c r="M42" s="58">
        <f t="shared" si="20"/>
        <v>6885743</v>
      </c>
      <c r="N42" s="58">
        <f t="shared" si="20"/>
        <v>7907554</v>
      </c>
      <c r="O42" s="58">
        <f t="shared" si="20"/>
        <v>9060004</v>
      </c>
      <c r="P42" s="239">
        <f>+P17+P36+P40</f>
        <v>10403785.896576375</v>
      </c>
      <c r="Q42" s="139">
        <f t="shared" ref="Q42:W42" si="21">+C42/J42*100</f>
        <v>28.749311170571858</v>
      </c>
      <c r="R42" s="139">
        <f t="shared" si="21"/>
        <v>27.766858933503713</v>
      </c>
      <c r="S42" s="139">
        <f t="shared" si="21"/>
        <v>27.172971551247628</v>
      </c>
      <c r="T42" s="139">
        <f t="shared" si="21"/>
        <v>25.48597529707396</v>
      </c>
      <c r="U42" s="139">
        <f t="shared" si="21"/>
        <v>28.515224303242189</v>
      </c>
      <c r="V42" s="139">
        <f t="shared" si="21"/>
        <v>23.503805075582747</v>
      </c>
      <c r="W42" s="139">
        <f t="shared" si="21"/>
        <v>22.931220362628562</v>
      </c>
    </row>
    <row r="43" spans="1:23">
      <c r="A43" s="241"/>
      <c r="B43" s="628" t="s">
        <v>187</v>
      </c>
      <c r="C43" s="628"/>
      <c r="D43" s="628"/>
      <c r="E43" s="628"/>
      <c r="F43" s="628"/>
      <c r="G43" s="628"/>
      <c r="H43" s="628"/>
      <c r="I43" s="628"/>
      <c r="J43" s="628"/>
    </row>
    <row r="55" ht="11.25" customHeight="1"/>
  </sheetData>
  <mergeCells count="7">
    <mergeCell ref="B43:J43"/>
    <mergeCell ref="A1:V1"/>
    <mergeCell ref="A2:A4"/>
    <mergeCell ref="B2:B3"/>
    <mergeCell ref="C2:I2"/>
    <mergeCell ref="J2:P2"/>
    <mergeCell ref="Q2:W2"/>
  </mergeCells>
  <phoneticPr fontId="42" type="noConversion"/>
  <printOptions horizontalCentered="1"/>
  <pageMargins left="0.74803149606299213" right="0.74803149606299213" top="0.78740157480314965" bottom="0.39370078740157483" header="0" footer="0"/>
  <pageSetup paperSize="9" scale="56" orientation="landscape" verticalDpi="0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W4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RowHeight="12.75"/>
  <cols>
    <col min="1" max="1" width="5.42578125" style="27" customWidth="1"/>
    <col min="2" max="2" width="35.28515625" style="27" customWidth="1"/>
    <col min="3" max="9" width="11.28515625" style="23" customWidth="1"/>
    <col min="10" max="10" width="11.7109375" style="23" customWidth="1"/>
    <col min="11" max="11" width="12" style="23" customWidth="1"/>
    <col min="12" max="12" width="11.5703125" style="23" customWidth="1"/>
    <col min="13" max="13" width="11.7109375" style="23" customWidth="1"/>
    <col min="14" max="14" width="11.85546875" style="23" customWidth="1"/>
    <col min="15" max="16" width="11.28515625" style="23" customWidth="1"/>
    <col min="17" max="18" width="12.5703125" style="27" customWidth="1"/>
    <col min="19" max="19" width="11" style="27" bestFit="1" customWidth="1"/>
    <col min="20" max="21" width="11" style="27" customWidth="1"/>
    <col min="22" max="22" width="10.85546875" style="27" customWidth="1"/>
    <col min="23" max="16384" width="9.140625" style="27"/>
  </cols>
  <sheetData>
    <row r="1" spans="1:23" ht="28.5" customHeight="1">
      <c r="A1" s="606" t="s">
        <v>99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7"/>
      <c r="O1" s="607"/>
      <c r="P1" s="607"/>
      <c r="Q1" s="607"/>
      <c r="R1" s="607"/>
    </row>
    <row r="2" spans="1:23" ht="49.5" customHeight="1">
      <c r="A2" s="599" t="s">
        <v>47</v>
      </c>
      <c r="B2" s="637" t="s">
        <v>118</v>
      </c>
      <c r="C2" s="638" t="s">
        <v>125</v>
      </c>
      <c r="D2" s="639"/>
      <c r="E2" s="639"/>
      <c r="F2" s="639"/>
      <c r="G2" s="639"/>
      <c r="H2" s="639"/>
      <c r="I2" s="640"/>
      <c r="J2" s="611" t="s">
        <v>152</v>
      </c>
      <c r="K2" s="612"/>
      <c r="L2" s="612"/>
      <c r="M2" s="612"/>
      <c r="N2" s="612"/>
      <c r="O2" s="612"/>
      <c r="P2" s="613"/>
      <c r="Q2" s="641" t="s">
        <v>87</v>
      </c>
      <c r="R2" s="641"/>
      <c r="S2" s="641"/>
      <c r="T2" s="641"/>
      <c r="U2" s="641"/>
      <c r="V2" s="641"/>
      <c r="W2" s="641"/>
    </row>
    <row r="3" spans="1:23" ht="34.5" customHeight="1">
      <c r="A3" s="599"/>
      <c r="B3" s="637"/>
      <c r="C3" s="123" t="s">
        <v>3</v>
      </c>
      <c r="D3" s="123" t="s">
        <v>4</v>
      </c>
      <c r="E3" s="123" t="s">
        <v>5</v>
      </c>
      <c r="F3" s="123" t="s">
        <v>6</v>
      </c>
      <c r="G3" s="123" t="s">
        <v>7</v>
      </c>
      <c r="H3" s="123" t="s">
        <v>122</v>
      </c>
      <c r="I3" s="123" t="s">
        <v>139</v>
      </c>
      <c r="J3" s="1" t="s">
        <v>3</v>
      </c>
      <c r="K3" s="1" t="s">
        <v>4</v>
      </c>
      <c r="L3" s="1" t="s">
        <v>5</v>
      </c>
      <c r="M3" s="1" t="s">
        <v>6</v>
      </c>
      <c r="N3" s="1" t="s">
        <v>7</v>
      </c>
      <c r="O3" s="1" t="s">
        <v>122</v>
      </c>
      <c r="P3" s="1" t="s">
        <v>139</v>
      </c>
      <c r="Q3" s="166" t="s">
        <v>3</v>
      </c>
      <c r="R3" s="166" t="s">
        <v>4</v>
      </c>
      <c r="S3" s="166" t="s">
        <v>5</v>
      </c>
      <c r="T3" s="166" t="s">
        <v>6</v>
      </c>
      <c r="U3" s="166" t="s">
        <v>7</v>
      </c>
      <c r="V3" s="166" t="s">
        <v>122</v>
      </c>
      <c r="W3" s="166" t="s">
        <v>139</v>
      </c>
    </row>
    <row r="4" spans="1:23" s="67" customFormat="1" ht="18" customHeight="1">
      <c r="A4" s="599"/>
      <c r="B4" s="122">
        <v>41834</v>
      </c>
      <c r="C4" s="123" t="s">
        <v>8</v>
      </c>
      <c r="D4" s="123" t="s">
        <v>8</v>
      </c>
      <c r="E4" s="123" t="s">
        <v>8</v>
      </c>
      <c r="F4" s="123" t="s">
        <v>8</v>
      </c>
      <c r="G4" s="123" t="s">
        <v>8</v>
      </c>
      <c r="H4" s="123" t="s">
        <v>50</v>
      </c>
      <c r="I4" s="123" t="s">
        <v>10</v>
      </c>
      <c r="J4" s="1" t="s">
        <v>8</v>
      </c>
      <c r="K4" s="1" t="s">
        <v>8</v>
      </c>
      <c r="L4" s="1" t="s">
        <v>8</v>
      </c>
      <c r="M4" s="1" t="s">
        <v>8</v>
      </c>
      <c r="N4" s="1" t="s">
        <v>8</v>
      </c>
      <c r="O4" s="1" t="s">
        <v>50</v>
      </c>
      <c r="P4" s="1" t="s">
        <v>10</v>
      </c>
      <c r="Q4" s="166" t="s">
        <v>8</v>
      </c>
      <c r="R4" s="166" t="s">
        <v>8</v>
      </c>
      <c r="S4" s="166" t="s">
        <v>8</v>
      </c>
      <c r="T4" s="166" t="s">
        <v>8</v>
      </c>
      <c r="U4" s="166" t="s">
        <v>8</v>
      </c>
      <c r="V4" s="166" t="s">
        <v>50</v>
      </c>
      <c r="W4" s="166" t="s">
        <v>66</v>
      </c>
    </row>
    <row r="5" spans="1:23" ht="16.5" customHeight="1">
      <c r="A5" s="6"/>
      <c r="B5" s="4" t="s">
        <v>11</v>
      </c>
      <c r="C5" s="124"/>
      <c r="D5" s="124"/>
      <c r="E5" s="124"/>
      <c r="F5" s="124"/>
      <c r="G5" s="124"/>
      <c r="H5" s="124"/>
      <c r="I5" s="124"/>
      <c r="J5" s="5"/>
      <c r="K5" s="5"/>
      <c r="L5" s="5"/>
      <c r="M5" s="5"/>
      <c r="N5" s="5"/>
      <c r="O5" s="5"/>
      <c r="P5" s="5"/>
      <c r="Q5" s="167"/>
      <c r="R5" s="167"/>
      <c r="S5" s="168"/>
      <c r="T5" s="168"/>
      <c r="U5" s="168"/>
      <c r="V5" s="168"/>
      <c r="W5" s="168"/>
    </row>
    <row r="6" spans="1:23" ht="16.5" customHeight="1">
      <c r="A6" s="3">
        <v>1</v>
      </c>
      <c r="B6" s="6" t="s">
        <v>51</v>
      </c>
      <c r="C6" s="125">
        <v>415.9</v>
      </c>
      <c r="D6" s="140">
        <v>842.67</v>
      </c>
      <c r="E6" s="140">
        <v>1462.47</v>
      </c>
      <c r="F6" s="140">
        <v>1395.47</v>
      </c>
      <c r="G6" s="140">
        <v>1995.94</v>
      </c>
      <c r="H6" s="140">
        <v>1759.12</v>
      </c>
      <c r="I6" s="125">
        <v>2235.1999999999998</v>
      </c>
      <c r="J6" s="9">
        <v>1616.79</v>
      </c>
      <c r="K6" s="9">
        <v>2448.34</v>
      </c>
      <c r="L6" s="9">
        <v>2342.83</v>
      </c>
      <c r="M6" s="9">
        <v>2843.83</v>
      </c>
      <c r="N6" s="9">
        <v>3595.27</v>
      </c>
      <c r="O6" s="9">
        <v>2795.51</v>
      </c>
      <c r="P6" s="9">
        <v>4875.8599999999997</v>
      </c>
      <c r="Q6" s="169">
        <f t="shared" ref="Q6:Q17" si="0">+C6/J6*100</f>
        <v>25.723810760828552</v>
      </c>
      <c r="R6" s="169">
        <f t="shared" ref="R6:R17" si="1">+D6/K6*100</f>
        <v>34.418013837947342</v>
      </c>
      <c r="S6" s="169">
        <f t="shared" ref="S6:S17" si="2">+E6/L6*100</f>
        <v>62.423223195878499</v>
      </c>
      <c r="T6" s="169">
        <f>+F6/M6*100</f>
        <v>49.070092094112525</v>
      </c>
      <c r="U6" s="169">
        <f>+G6/N6*100</f>
        <v>55.515719264478051</v>
      </c>
      <c r="V6" s="169">
        <f>+H6/O6*100</f>
        <v>62.92662161823781</v>
      </c>
      <c r="W6" s="169">
        <f>+I6/P6*100</f>
        <v>45.842169381401433</v>
      </c>
    </row>
    <row r="7" spans="1:23" ht="16.5" customHeight="1">
      <c r="A7" s="3">
        <v>2</v>
      </c>
      <c r="B7" s="6" t="s">
        <v>13</v>
      </c>
      <c r="C7" s="132">
        <v>5766.86</v>
      </c>
      <c r="D7" s="132">
        <v>5415.29</v>
      </c>
      <c r="E7" s="132">
        <v>6466.32</v>
      </c>
      <c r="F7" s="132">
        <v>11590.62</v>
      </c>
      <c r="G7" s="132">
        <v>9277.6200000000008</v>
      </c>
      <c r="H7" s="132">
        <v>11988.56</v>
      </c>
      <c r="I7" s="132">
        <v>12825.06</v>
      </c>
      <c r="J7" s="9">
        <v>3538.2</v>
      </c>
      <c r="K7" s="9">
        <v>5471.89</v>
      </c>
      <c r="L7" s="9">
        <v>5382.92</v>
      </c>
      <c r="M7" s="9">
        <v>6480.09</v>
      </c>
      <c r="N7" s="9">
        <v>7218.1</v>
      </c>
      <c r="O7" s="9">
        <v>9121.85</v>
      </c>
      <c r="P7" s="9">
        <v>11198.1</v>
      </c>
      <c r="Q7" s="169">
        <f t="shared" si="0"/>
        <v>162.98852523882198</v>
      </c>
      <c r="R7" s="169">
        <f t="shared" si="1"/>
        <v>98.965622481446076</v>
      </c>
      <c r="S7" s="169">
        <f t="shared" si="2"/>
        <v>120.12662272521233</v>
      </c>
      <c r="T7" s="169">
        <f t="shared" ref="T7:T16" si="3">+F7/M7*100</f>
        <v>178.86510835497654</v>
      </c>
      <c r="U7" s="169">
        <f t="shared" ref="U7:U16" si="4">+G7/N7*100</f>
        <v>128.53271636580263</v>
      </c>
      <c r="V7" s="169">
        <f t="shared" ref="V7:W16" si="5">+H7/O7*100</f>
        <v>131.42684872038018</v>
      </c>
      <c r="W7" s="169">
        <f t="shared" si="5"/>
        <v>114.52889329439815</v>
      </c>
    </row>
    <row r="8" spans="1:23" ht="16.5" customHeight="1">
      <c r="A8" s="3">
        <v>3</v>
      </c>
      <c r="B8" s="6" t="s">
        <v>14</v>
      </c>
      <c r="C8" s="132">
        <f>355.41+2659.46</f>
        <v>3014.87</v>
      </c>
      <c r="D8" s="132">
        <f>81.87+3233.02</f>
        <v>3314.89</v>
      </c>
      <c r="E8" s="132">
        <f>10.08+3962.95</f>
        <v>3973.0299999999997</v>
      </c>
      <c r="F8" s="132">
        <f>127.11+5039.28</f>
        <v>5166.3899999999994</v>
      </c>
      <c r="G8" s="132">
        <f>190.09+5115.42</f>
        <v>5305.51</v>
      </c>
      <c r="H8" s="132">
        <v>6129.73</v>
      </c>
      <c r="I8" s="132">
        <v>6956.42</v>
      </c>
      <c r="J8" s="9">
        <v>2524.65</v>
      </c>
      <c r="K8" s="9">
        <v>2883.14</v>
      </c>
      <c r="L8" s="9">
        <v>3199.46</v>
      </c>
      <c r="M8" s="9">
        <v>3647.93</v>
      </c>
      <c r="N8" s="9">
        <v>3942.83</v>
      </c>
      <c r="O8" s="9">
        <v>4386.41</v>
      </c>
      <c r="P8" s="9">
        <v>4294.7299999999996</v>
      </c>
      <c r="Q8" s="169">
        <f t="shared" si="0"/>
        <v>119.41734497851186</v>
      </c>
      <c r="R8" s="169">
        <f t="shared" si="1"/>
        <v>114.97499254285259</v>
      </c>
      <c r="S8" s="169">
        <f t="shared" si="2"/>
        <v>124.17814256155725</v>
      </c>
      <c r="T8" s="169">
        <f t="shared" si="3"/>
        <v>141.62525048452136</v>
      </c>
      <c r="U8" s="169">
        <f t="shared" si="4"/>
        <v>134.56096255735096</v>
      </c>
      <c r="V8" s="169">
        <f t="shared" si="5"/>
        <v>139.7436628130977</v>
      </c>
      <c r="W8" s="169">
        <f t="shared" si="5"/>
        <v>161.97572373583441</v>
      </c>
    </row>
    <row r="9" spans="1:23" ht="16.5" customHeight="1">
      <c r="A9" s="3">
        <v>4</v>
      </c>
      <c r="B9" s="6" t="s">
        <v>52</v>
      </c>
      <c r="C9" s="132">
        <v>4475</v>
      </c>
      <c r="D9" s="132">
        <v>5077.78</v>
      </c>
      <c r="E9" s="132">
        <v>6022.81</v>
      </c>
      <c r="F9" s="132">
        <v>7722</v>
      </c>
      <c r="G9" s="132">
        <v>9904.25</v>
      </c>
      <c r="H9" s="132">
        <v>10701</v>
      </c>
      <c r="I9" s="132">
        <v>13811</v>
      </c>
      <c r="J9" s="9">
        <v>4164.4399999999996</v>
      </c>
      <c r="K9" s="9">
        <v>5006.1400000000003</v>
      </c>
      <c r="L9" s="9">
        <v>6688.41</v>
      </c>
      <c r="M9" s="9">
        <v>6639</v>
      </c>
      <c r="N9" s="9">
        <v>6721.86</v>
      </c>
      <c r="O9" s="9">
        <v>6527.55</v>
      </c>
      <c r="P9" s="9">
        <v>8732.52</v>
      </c>
      <c r="Q9" s="169">
        <f t="shared" si="0"/>
        <v>107.45742524805257</v>
      </c>
      <c r="R9" s="169">
        <f t="shared" si="1"/>
        <v>101.43104267958944</v>
      </c>
      <c r="S9" s="169">
        <f t="shared" si="2"/>
        <v>90.048456957632695</v>
      </c>
      <c r="T9" s="169">
        <f t="shared" si="3"/>
        <v>116.31269769543606</v>
      </c>
      <c r="U9" s="169">
        <f t="shared" si="4"/>
        <v>147.34388993522626</v>
      </c>
      <c r="V9" s="169">
        <f t="shared" si="5"/>
        <v>163.9359330836225</v>
      </c>
      <c r="W9" s="169">
        <f t="shared" si="5"/>
        <v>158.15595040148776</v>
      </c>
    </row>
    <row r="10" spans="1:23" ht="16.5" customHeight="1">
      <c r="A10" s="3">
        <v>5</v>
      </c>
      <c r="B10" s="6" t="s">
        <v>16</v>
      </c>
      <c r="C10" s="132">
        <f>43+847.17</f>
        <v>890.17</v>
      </c>
      <c r="D10" s="132">
        <f>52.79+1010.53</f>
        <v>1063.32</v>
      </c>
      <c r="E10" s="132">
        <f>61.7+1087.19</f>
        <v>1148.8900000000001</v>
      </c>
      <c r="F10" s="132">
        <f>80.34+1592.81</f>
        <v>1673.1499999999999</v>
      </c>
      <c r="G10" s="132">
        <f>121.72+2088.38</f>
        <v>2210.1</v>
      </c>
      <c r="H10" s="132">
        <v>2350.12</v>
      </c>
      <c r="I10" s="132">
        <v>2627.33</v>
      </c>
      <c r="J10" s="9">
        <v>1593.63</v>
      </c>
      <c r="K10" s="9">
        <v>1954.59</v>
      </c>
      <c r="L10" s="9">
        <v>2305.17</v>
      </c>
      <c r="M10" s="9">
        <v>3019.18</v>
      </c>
      <c r="N10" s="9">
        <v>2779.72</v>
      </c>
      <c r="O10" s="9">
        <v>2560.89</v>
      </c>
      <c r="P10" s="9">
        <v>4489.95</v>
      </c>
      <c r="Q10" s="169">
        <f t="shared" si="0"/>
        <v>55.85800970112259</v>
      </c>
      <c r="R10" s="169">
        <f t="shared" si="1"/>
        <v>54.401178763832824</v>
      </c>
      <c r="S10" s="169">
        <f t="shared" si="2"/>
        <v>49.839708134324148</v>
      </c>
      <c r="T10" s="169">
        <f t="shared" si="3"/>
        <v>55.417364979895197</v>
      </c>
      <c r="U10" s="169">
        <f t="shared" si="4"/>
        <v>79.508008000805845</v>
      </c>
      <c r="V10" s="169">
        <f t="shared" si="5"/>
        <v>91.769658204764752</v>
      </c>
      <c r="W10" s="169">
        <f t="shared" si="5"/>
        <v>58.515796389714815</v>
      </c>
    </row>
    <row r="11" spans="1:23" ht="16.5" customHeight="1">
      <c r="A11" s="3">
        <v>6</v>
      </c>
      <c r="B11" s="6" t="s">
        <v>17</v>
      </c>
      <c r="C11" s="132">
        <v>940.77</v>
      </c>
      <c r="D11" s="132">
        <v>1015.1899999999999</v>
      </c>
      <c r="E11" s="132">
        <v>1492.6599999999999</v>
      </c>
      <c r="F11" s="132">
        <v>1857.4699999999998</v>
      </c>
      <c r="G11" s="132">
        <v>2179.4299999999998</v>
      </c>
      <c r="H11" s="132">
        <v>2093.56</v>
      </c>
      <c r="I11" s="132">
        <v>1987.2400000000002</v>
      </c>
      <c r="J11" s="9">
        <v>1128.24</v>
      </c>
      <c r="K11" s="9">
        <v>1579.48</v>
      </c>
      <c r="L11" s="9">
        <v>1537.87</v>
      </c>
      <c r="M11" s="9">
        <f>1467.06+574.73+26.46</f>
        <v>2068.25</v>
      </c>
      <c r="N11" s="9">
        <f>1958.78+851.47+35.95</f>
        <v>2846.2</v>
      </c>
      <c r="O11" s="9">
        <v>2609.46</v>
      </c>
      <c r="P11" s="9">
        <v>5637.15</v>
      </c>
      <c r="Q11" s="169">
        <f t="shared" si="0"/>
        <v>83.383854499042755</v>
      </c>
      <c r="R11" s="169">
        <f t="shared" si="1"/>
        <v>64.273685010256528</v>
      </c>
      <c r="S11" s="169">
        <f t="shared" si="2"/>
        <v>97.060219654457143</v>
      </c>
      <c r="T11" s="169">
        <f t="shared" si="3"/>
        <v>89.808775534872467</v>
      </c>
      <c r="U11" s="169">
        <f t="shared" si="4"/>
        <v>76.573325837959388</v>
      </c>
      <c r="V11" s="169">
        <f t="shared" si="5"/>
        <v>80.229626052899832</v>
      </c>
      <c r="W11" s="169">
        <f t="shared" si="5"/>
        <v>35.252565569481035</v>
      </c>
    </row>
    <row r="12" spans="1:23" s="23" customFormat="1" ht="16.5" customHeight="1">
      <c r="A12" s="12">
        <v>7</v>
      </c>
      <c r="B12" s="13" t="s">
        <v>18</v>
      </c>
      <c r="C12" s="132">
        <v>597.84</v>
      </c>
      <c r="D12" s="132">
        <v>861.61999999999989</v>
      </c>
      <c r="E12" s="132">
        <v>998.27</v>
      </c>
      <c r="F12" s="132">
        <v>1304.3400000000001</v>
      </c>
      <c r="G12" s="132">
        <v>1411.3799999999999</v>
      </c>
      <c r="H12" s="132">
        <v>1651.21</v>
      </c>
      <c r="I12" s="132">
        <v>1959.39</v>
      </c>
      <c r="J12" s="9">
        <v>1142.94</v>
      </c>
      <c r="K12" s="9">
        <v>1119.3</v>
      </c>
      <c r="L12" s="9">
        <v>1367.95</v>
      </c>
      <c r="M12" s="9">
        <v>1833.88</v>
      </c>
      <c r="N12" s="9">
        <v>1753.44</v>
      </c>
      <c r="O12" s="9">
        <v>2271.21</v>
      </c>
      <c r="P12" s="9">
        <v>2500.2199999999998</v>
      </c>
      <c r="Q12" s="169">
        <f t="shared" si="0"/>
        <v>52.307207727439767</v>
      </c>
      <c r="R12" s="169">
        <f t="shared" si="1"/>
        <v>76.978468685785757</v>
      </c>
      <c r="S12" s="169">
        <f t="shared" si="2"/>
        <v>72.975620453963955</v>
      </c>
      <c r="T12" s="169">
        <f t="shared" si="3"/>
        <v>71.12461011625625</v>
      </c>
      <c r="U12" s="169">
        <f t="shared" si="4"/>
        <v>80.492061319463446</v>
      </c>
      <c r="V12" s="169">
        <f t="shared" si="5"/>
        <v>72.701775705460975</v>
      </c>
      <c r="W12" s="169">
        <f t="shared" si="5"/>
        <v>78.368703554087247</v>
      </c>
    </row>
    <row r="13" spans="1:23" s="23" customFormat="1" ht="16.5" customHeight="1">
      <c r="A13" s="12">
        <v>8</v>
      </c>
      <c r="B13" s="13" t="s">
        <v>19</v>
      </c>
      <c r="C13" s="132">
        <v>1123.47</v>
      </c>
      <c r="D13" s="132">
        <v>1254.32</v>
      </c>
      <c r="E13" s="132">
        <v>1493.87</v>
      </c>
      <c r="F13" s="132">
        <v>2036.36</v>
      </c>
      <c r="G13" s="132">
        <v>2339.19</v>
      </c>
      <c r="H13" s="132">
        <v>2590.7399999999998</v>
      </c>
      <c r="I13" s="132">
        <v>2821.72</v>
      </c>
      <c r="J13" s="9">
        <v>1296.97</v>
      </c>
      <c r="K13" s="9">
        <v>1396.74</v>
      </c>
      <c r="L13" s="9">
        <v>1568.55</v>
      </c>
      <c r="M13" s="9">
        <v>2009.42</v>
      </c>
      <c r="N13" s="9">
        <v>2069.39</v>
      </c>
      <c r="O13" s="9">
        <v>3106.7</v>
      </c>
      <c r="P13" s="9">
        <v>2732.77</v>
      </c>
      <c r="Q13" s="169">
        <f t="shared" si="0"/>
        <v>86.622666676947034</v>
      </c>
      <c r="R13" s="169">
        <f t="shared" si="1"/>
        <v>89.80339934418717</v>
      </c>
      <c r="S13" s="169">
        <f t="shared" si="2"/>
        <v>95.238914921424239</v>
      </c>
      <c r="T13" s="169">
        <f t="shared" si="3"/>
        <v>101.34068537189836</v>
      </c>
      <c r="U13" s="169">
        <f t="shared" si="4"/>
        <v>113.03765844040998</v>
      </c>
      <c r="V13" s="169">
        <f t="shared" si="5"/>
        <v>83.392023690732927</v>
      </c>
      <c r="W13" s="169">
        <f t="shared" si="5"/>
        <v>103.25493912769825</v>
      </c>
    </row>
    <row r="14" spans="1:23" ht="16.5" customHeight="1">
      <c r="A14" s="3">
        <v>9</v>
      </c>
      <c r="B14" s="6" t="s">
        <v>20</v>
      </c>
      <c r="C14" s="132">
        <v>492.90999999999997</v>
      </c>
      <c r="D14" s="132">
        <v>576.44000000000005</v>
      </c>
      <c r="E14" s="132">
        <v>968.76</v>
      </c>
      <c r="F14" s="132">
        <v>1095.79</v>
      </c>
      <c r="G14" s="132">
        <v>874.83999999999992</v>
      </c>
      <c r="H14" s="132">
        <v>971.01</v>
      </c>
      <c r="I14" s="132">
        <v>1097.3</v>
      </c>
      <c r="J14" s="9">
        <v>835.26</v>
      </c>
      <c r="K14" s="9">
        <v>1129.51</v>
      </c>
      <c r="L14" s="9">
        <v>1257.8599999999999</v>
      </c>
      <c r="M14" s="9">
        <v>1132.0899999999999</v>
      </c>
      <c r="N14" s="9">
        <v>1413.31</v>
      </c>
      <c r="O14" s="9">
        <v>1657.97</v>
      </c>
      <c r="P14" s="9">
        <v>2550.11</v>
      </c>
      <c r="Q14" s="169">
        <f t="shared" si="0"/>
        <v>59.012762493115915</v>
      </c>
      <c r="R14" s="169">
        <f t="shared" si="1"/>
        <v>51.034519393365272</v>
      </c>
      <c r="S14" s="169">
        <f t="shared" si="2"/>
        <v>77.016520121476162</v>
      </c>
      <c r="T14" s="169">
        <f t="shared" si="3"/>
        <v>96.793541149555253</v>
      </c>
      <c r="U14" s="169">
        <f t="shared" si="4"/>
        <v>61.900078539032478</v>
      </c>
      <c r="V14" s="169">
        <f t="shared" si="5"/>
        <v>58.566198423373159</v>
      </c>
      <c r="W14" s="169">
        <f t="shared" si="5"/>
        <v>43.029516373803474</v>
      </c>
    </row>
    <row r="15" spans="1:23" ht="16.5" customHeight="1">
      <c r="A15" s="3">
        <v>10</v>
      </c>
      <c r="B15" s="6" t="s">
        <v>21</v>
      </c>
      <c r="C15" s="132">
        <v>1299.6500000000001</v>
      </c>
      <c r="D15" s="132">
        <v>1374.5900000000001</v>
      </c>
      <c r="E15" s="132">
        <v>2006.71</v>
      </c>
      <c r="F15" s="132">
        <v>2106.2199999999998</v>
      </c>
      <c r="G15" s="132">
        <v>2156.09</v>
      </c>
      <c r="H15" s="132">
        <v>2343.3000000000002</v>
      </c>
      <c r="I15" s="132">
        <v>3073.66</v>
      </c>
      <c r="J15" s="9">
        <v>1424.19</v>
      </c>
      <c r="K15" s="9">
        <v>1795.73</v>
      </c>
      <c r="L15" s="9">
        <v>2077.33</v>
      </c>
      <c r="M15" s="9">
        <v>1887.29</v>
      </c>
      <c r="N15" s="9">
        <v>2396.87</v>
      </c>
      <c r="O15" s="9">
        <v>2688.59</v>
      </c>
      <c r="P15" s="9">
        <v>3812.09</v>
      </c>
      <c r="Q15" s="169">
        <f t="shared" si="0"/>
        <v>91.25538025123052</v>
      </c>
      <c r="R15" s="169">
        <f t="shared" si="1"/>
        <v>76.547699264366031</v>
      </c>
      <c r="S15" s="169">
        <f t="shared" si="2"/>
        <v>96.60044383896637</v>
      </c>
      <c r="T15" s="169">
        <f t="shared" si="3"/>
        <v>111.60023101908025</v>
      </c>
      <c r="U15" s="169">
        <f t="shared" si="4"/>
        <v>89.954398861849</v>
      </c>
      <c r="V15" s="169">
        <f t="shared" si="5"/>
        <v>87.157208797176224</v>
      </c>
      <c r="W15" s="169">
        <f t="shared" si="5"/>
        <v>80.629261113982082</v>
      </c>
    </row>
    <row r="16" spans="1:23" ht="16.5" customHeight="1">
      <c r="A16" s="3">
        <v>11</v>
      </c>
      <c r="B16" s="6" t="s">
        <v>22</v>
      </c>
      <c r="C16" s="132">
        <v>2302.2800000000002</v>
      </c>
      <c r="D16" s="132">
        <v>3349.91</v>
      </c>
      <c r="E16" s="132">
        <v>4811.21</v>
      </c>
      <c r="F16" s="132">
        <v>4966.1400000000003</v>
      </c>
      <c r="G16" s="132">
        <v>5511.88</v>
      </c>
      <c r="H16" s="132">
        <v>6046.37</v>
      </c>
      <c r="I16" s="132">
        <v>7404.18</v>
      </c>
      <c r="J16" s="9">
        <v>4186.13</v>
      </c>
      <c r="K16" s="9">
        <v>4192.3999999999996</v>
      </c>
      <c r="L16" s="9">
        <v>3810.16</v>
      </c>
      <c r="M16" s="9">
        <v>4367.29</v>
      </c>
      <c r="N16" s="9">
        <v>4625.12</v>
      </c>
      <c r="O16" s="9">
        <v>5511.09</v>
      </c>
      <c r="P16" s="9">
        <v>8710.3799999999992</v>
      </c>
      <c r="Q16" s="169">
        <f t="shared" si="0"/>
        <v>54.997814210261033</v>
      </c>
      <c r="R16" s="169">
        <f t="shared" si="1"/>
        <v>79.904350729892187</v>
      </c>
      <c r="S16" s="169">
        <f t="shared" si="2"/>
        <v>126.27317487979508</v>
      </c>
      <c r="T16" s="169">
        <f t="shared" si="3"/>
        <v>113.71216475205448</v>
      </c>
      <c r="U16" s="169">
        <f t="shared" si="4"/>
        <v>119.17269173556579</v>
      </c>
      <c r="V16" s="169">
        <f t="shared" si="5"/>
        <v>109.71277914169428</v>
      </c>
      <c r="W16" s="169">
        <f t="shared" si="5"/>
        <v>85.004098558271863</v>
      </c>
    </row>
    <row r="17" spans="1:23" s="67" customFormat="1" ht="16.5" customHeight="1">
      <c r="A17" s="4"/>
      <c r="B17" s="4" t="s">
        <v>23</v>
      </c>
      <c r="C17" s="133">
        <f t="shared" ref="C17:P17" si="6">SUM(C6:C16)</f>
        <v>21319.72</v>
      </c>
      <c r="D17" s="133">
        <f t="shared" si="6"/>
        <v>24146.019999999997</v>
      </c>
      <c r="E17" s="133">
        <f t="shared" si="6"/>
        <v>30844.999999999996</v>
      </c>
      <c r="F17" s="133">
        <f t="shared" si="6"/>
        <v>40913.950000000004</v>
      </c>
      <c r="G17" s="133">
        <f t="shared" si="6"/>
        <v>43166.229999999989</v>
      </c>
      <c r="H17" s="133">
        <f t="shared" si="6"/>
        <v>48624.72</v>
      </c>
      <c r="I17" s="133">
        <f t="shared" si="6"/>
        <v>56798.500000000007</v>
      </c>
      <c r="J17" s="65">
        <f t="shared" si="6"/>
        <v>23451.439999999999</v>
      </c>
      <c r="K17" s="65">
        <f t="shared" si="6"/>
        <v>28977.260000000002</v>
      </c>
      <c r="L17" s="65">
        <f t="shared" si="6"/>
        <v>31538.51</v>
      </c>
      <c r="M17" s="65">
        <f t="shared" si="6"/>
        <v>35928.25</v>
      </c>
      <c r="N17" s="65">
        <f t="shared" si="6"/>
        <v>39362.110000000008</v>
      </c>
      <c r="O17" s="65">
        <f t="shared" si="6"/>
        <v>43237.229999999996</v>
      </c>
      <c r="P17" s="65">
        <f t="shared" si="6"/>
        <v>59533.88</v>
      </c>
      <c r="Q17" s="170">
        <f t="shared" si="0"/>
        <v>90.910067782618057</v>
      </c>
      <c r="R17" s="170">
        <f t="shared" si="1"/>
        <v>83.327478167362941</v>
      </c>
      <c r="S17" s="170">
        <f t="shared" si="2"/>
        <v>97.801069232503366</v>
      </c>
      <c r="T17" s="170">
        <f>+F17/M17*100</f>
        <v>113.87682394772918</v>
      </c>
      <c r="U17" s="170">
        <f>+G17/N17*100</f>
        <v>109.66442093678408</v>
      </c>
      <c r="V17" s="170">
        <f>+H17/O17*100</f>
        <v>112.46030330805191</v>
      </c>
      <c r="W17" s="170">
        <f>+I17/P17*100</f>
        <v>95.405338943136258</v>
      </c>
    </row>
    <row r="18" spans="1:23" s="67" customFormat="1" ht="16.5" customHeight="1">
      <c r="A18" s="4"/>
      <c r="B18" s="4" t="s">
        <v>189</v>
      </c>
      <c r="C18" s="132"/>
      <c r="D18" s="132"/>
      <c r="E18" s="132"/>
      <c r="F18" s="132"/>
      <c r="G18" s="132"/>
      <c r="H18" s="132"/>
      <c r="I18" s="132"/>
      <c r="J18" s="13"/>
      <c r="K18" s="13"/>
      <c r="L18" s="9"/>
      <c r="M18" s="9"/>
      <c r="N18" s="9"/>
      <c r="O18" s="9"/>
      <c r="P18" s="9"/>
      <c r="Q18" s="169"/>
      <c r="R18" s="169"/>
      <c r="S18" s="169"/>
      <c r="T18" s="169"/>
      <c r="U18" s="169"/>
      <c r="V18" s="169"/>
      <c r="W18" s="169"/>
    </row>
    <row r="19" spans="1:23" ht="16.5" customHeight="1">
      <c r="A19" s="3">
        <v>12</v>
      </c>
      <c r="B19" s="6" t="s">
        <v>25</v>
      </c>
      <c r="C19" s="132">
        <f>830.13+12171.08</f>
        <v>13001.21</v>
      </c>
      <c r="D19" s="132">
        <f>1394.42+12882.86</f>
        <v>14277.28</v>
      </c>
      <c r="E19" s="132">
        <f>1700.85+15706.57</f>
        <v>17407.419999999998</v>
      </c>
      <c r="F19" s="132">
        <f>2311.74+21128.13</f>
        <v>23439.870000000003</v>
      </c>
      <c r="G19" s="132">
        <f>2568.74+23827.46</f>
        <v>26396.199999999997</v>
      </c>
      <c r="H19" s="132">
        <f>24418.46+1353</f>
        <v>25771.46</v>
      </c>
      <c r="I19" s="132">
        <f>31035.12+1081.6</f>
        <v>32116.719999999998</v>
      </c>
      <c r="J19" s="9">
        <v>28987.43</v>
      </c>
      <c r="K19" s="9">
        <v>32700.639999999999</v>
      </c>
      <c r="L19" s="9">
        <v>30910.26</v>
      </c>
      <c r="M19" s="9">
        <v>34033.74</v>
      </c>
      <c r="N19" s="9">
        <v>41973.1</v>
      </c>
      <c r="O19" s="9">
        <v>43713.1</v>
      </c>
      <c r="P19" s="9">
        <v>59422.48</v>
      </c>
      <c r="Q19" s="169">
        <f t="shared" ref="Q19:Q36" si="7">+C19/J19*100</f>
        <v>44.851199295694713</v>
      </c>
      <c r="R19" s="169">
        <f t="shared" ref="R19:R36" si="8">+D19/K19*100</f>
        <v>43.660552209375716</v>
      </c>
      <c r="S19" s="169">
        <f t="shared" ref="S19:S36" si="9">+E19/L19*100</f>
        <v>56.315993459776777</v>
      </c>
      <c r="T19" s="169">
        <f>+F19/M19*100</f>
        <v>68.872448340969882</v>
      </c>
      <c r="U19" s="169">
        <f>+G19/N19*100</f>
        <v>62.888373744136118</v>
      </c>
      <c r="V19" s="169">
        <f>+H19/O19*100</f>
        <v>58.955919392584832</v>
      </c>
      <c r="W19" s="169">
        <f>+I19/P19*100</f>
        <v>54.048097622313975</v>
      </c>
    </row>
    <row r="20" spans="1:23" s="23" customFormat="1" ht="16.5" customHeight="1">
      <c r="A20" s="12">
        <v>13</v>
      </c>
      <c r="B20" s="13" t="s">
        <v>26</v>
      </c>
      <c r="C20" s="132">
        <v>6484.76</v>
      </c>
      <c r="D20" s="132">
        <v>7658.49</v>
      </c>
      <c r="E20" s="132">
        <v>9572.69</v>
      </c>
      <c r="F20" s="132">
        <v>10549.85</v>
      </c>
      <c r="G20" s="132">
        <v>12193.7</v>
      </c>
      <c r="H20" s="132">
        <v>13557.88</v>
      </c>
      <c r="I20" s="132">
        <v>17676.179999999997</v>
      </c>
      <c r="J20" s="9">
        <v>10945.7</v>
      </c>
      <c r="K20" s="9">
        <v>13813.74</v>
      </c>
      <c r="L20" s="9">
        <v>16194.18</v>
      </c>
      <c r="M20" s="9">
        <v>20910.54</v>
      </c>
      <c r="N20" s="9">
        <v>22984.6</v>
      </c>
      <c r="O20" s="9">
        <v>28381.16</v>
      </c>
      <c r="P20" s="9">
        <v>39006.300000000003</v>
      </c>
      <c r="Q20" s="169">
        <f t="shared" si="7"/>
        <v>59.244817599605327</v>
      </c>
      <c r="R20" s="169">
        <f t="shared" si="8"/>
        <v>55.441104291813801</v>
      </c>
      <c r="S20" s="169">
        <f t="shared" si="9"/>
        <v>59.111915515327119</v>
      </c>
      <c r="T20" s="169">
        <f t="shared" ref="T20:T35" si="10">+F20/M20*100</f>
        <v>50.452307783538828</v>
      </c>
      <c r="U20" s="169">
        <f t="shared" ref="U20:U35" si="11">+G20/N20*100</f>
        <v>53.051608468278765</v>
      </c>
      <c r="V20" s="169">
        <f t="shared" ref="V20:W35" si="12">+H20/O20*100</f>
        <v>47.770704227734171</v>
      </c>
      <c r="W20" s="169">
        <f t="shared" si="12"/>
        <v>45.316218149375857</v>
      </c>
    </row>
    <row r="21" spans="1:23" ht="16.5" customHeight="1">
      <c r="A21" s="3">
        <v>14</v>
      </c>
      <c r="B21" s="6" t="s">
        <v>27</v>
      </c>
      <c r="C21" s="132">
        <v>2793.91</v>
      </c>
      <c r="D21" s="132">
        <v>3530.33</v>
      </c>
      <c r="E21" s="132">
        <v>4830.38</v>
      </c>
      <c r="F21" s="132">
        <v>5946.7699999999995</v>
      </c>
      <c r="G21" s="132">
        <v>6935.3</v>
      </c>
      <c r="H21" s="132">
        <v>7177.7000000000007</v>
      </c>
      <c r="I21" s="132">
        <v>8386.51</v>
      </c>
      <c r="J21" s="9">
        <v>6676.77</v>
      </c>
      <c r="K21" s="9">
        <v>8840.39</v>
      </c>
      <c r="L21" s="9">
        <v>10449.52</v>
      </c>
      <c r="M21" s="9">
        <v>11576.43</v>
      </c>
      <c r="N21" s="9">
        <v>15319.55</v>
      </c>
      <c r="O21" s="9">
        <v>19236.990000000002</v>
      </c>
      <c r="P21" s="9">
        <v>24698.67</v>
      </c>
      <c r="Q21" s="169">
        <f t="shared" si="7"/>
        <v>41.845233548557161</v>
      </c>
      <c r="R21" s="169">
        <f t="shared" si="8"/>
        <v>39.934097930068695</v>
      </c>
      <c r="S21" s="169">
        <f t="shared" si="9"/>
        <v>46.2258553502936</v>
      </c>
      <c r="T21" s="169">
        <f t="shared" si="10"/>
        <v>51.369636407769924</v>
      </c>
      <c r="U21" s="169">
        <f t="shared" si="11"/>
        <v>45.270912004595438</v>
      </c>
      <c r="V21" s="169">
        <f t="shared" si="12"/>
        <v>37.311970323839645</v>
      </c>
      <c r="W21" s="169">
        <f t="shared" si="12"/>
        <v>33.955310144230445</v>
      </c>
    </row>
    <row r="22" spans="1:23" ht="16.5" customHeight="1">
      <c r="A22" s="3">
        <v>15</v>
      </c>
      <c r="B22" s="6" t="s">
        <v>28</v>
      </c>
      <c r="C22" s="132">
        <v>465.56</v>
      </c>
      <c r="D22" s="132">
        <v>668.28</v>
      </c>
      <c r="E22" s="132">
        <v>900.47</v>
      </c>
      <c r="F22" s="132">
        <v>1000</v>
      </c>
      <c r="G22" s="132">
        <v>1141.33</v>
      </c>
      <c r="H22" s="132">
        <v>1301.1199999999999</v>
      </c>
      <c r="I22" s="132" t="s">
        <v>182</v>
      </c>
      <c r="J22" s="9">
        <v>1250.81</v>
      </c>
      <c r="K22" s="9">
        <v>1650.62</v>
      </c>
      <c r="L22" s="9">
        <v>1896.33</v>
      </c>
      <c r="M22" s="9">
        <v>2160</v>
      </c>
      <c r="N22" s="9">
        <v>2307.4899999999998</v>
      </c>
      <c r="O22" s="9">
        <v>3488.83</v>
      </c>
      <c r="P22" s="9">
        <v>4453.47</v>
      </c>
      <c r="Q22" s="169">
        <f t="shared" si="7"/>
        <v>37.220680998712837</v>
      </c>
      <c r="R22" s="169">
        <f t="shared" si="8"/>
        <v>40.486605033260233</v>
      </c>
      <c r="S22" s="169">
        <f t="shared" si="9"/>
        <v>47.484878686726468</v>
      </c>
      <c r="T22" s="169">
        <f t="shared" si="10"/>
        <v>46.296296296296298</v>
      </c>
      <c r="U22" s="169">
        <f t="shared" si="11"/>
        <v>49.461969499326109</v>
      </c>
      <c r="V22" s="169">
        <f t="shared" si="12"/>
        <v>37.293877890295597</v>
      </c>
      <c r="W22" s="169" t="s">
        <v>182</v>
      </c>
    </row>
    <row r="23" spans="1:23" ht="16.5" customHeight="1">
      <c r="A23" s="3">
        <v>16</v>
      </c>
      <c r="B23" s="6" t="s">
        <v>29</v>
      </c>
      <c r="C23" s="132">
        <v>7353.21</v>
      </c>
      <c r="D23" s="132">
        <v>7353.21</v>
      </c>
      <c r="E23" s="132">
        <v>7353.21</v>
      </c>
      <c r="F23" s="132">
        <v>15205.33</v>
      </c>
      <c r="G23" s="132">
        <v>15205.33</v>
      </c>
      <c r="H23" s="132">
        <v>18373.740000000002</v>
      </c>
      <c r="I23" s="132">
        <v>20510</v>
      </c>
      <c r="J23" s="9">
        <v>14651.48</v>
      </c>
      <c r="K23" s="9">
        <v>20754.98</v>
      </c>
      <c r="L23" s="9">
        <v>21661.46</v>
      </c>
      <c r="M23" s="9">
        <v>25798.27</v>
      </c>
      <c r="N23" s="9">
        <v>30180.17</v>
      </c>
      <c r="O23" s="9">
        <v>42057.17</v>
      </c>
      <c r="P23" s="9">
        <v>48364.800000000003</v>
      </c>
      <c r="Q23" s="169">
        <f t="shared" si="7"/>
        <v>50.187489591495194</v>
      </c>
      <c r="R23" s="169">
        <f t="shared" si="8"/>
        <v>35.42865374960612</v>
      </c>
      <c r="S23" s="169">
        <f t="shared" si="9"/>
        <v>33.946049804583808</v>
      </c>
      <c r="T23" s="169">
        <f t="shared" si="10"/>
        <v>58.93933973091994</v>
      </c>
      <c r="U23" s="169">
        <f t="shared" si="11"/>
        <v>50.381856695969574</v>
      </c>
      <c r="V23" s="169">
        <f t="shared" si="12"/>
        <v>43.687532946225346</v>
      </c>
      <c r="W23" s="169">
        <f t="shared" si="12"/>
        <v>42.406874421066561</v>
      </c>
    </row>
    <row r="24" spans="1:23" ht="16.5" customHeight="1">
      <c r="A24" s="3">
        <v>17</v>
      </c>
      <c r="B24" s="6" t="s">
        <v>30</v>
      </c>
      <c r="C24" s="132">
        <v>4216</v>
      </c>
      <c r="D24" s="132">
        <v>6259</v>
      </c>
      <c r="E24" s="132">
        <v>8429</v>
      </c>
      <c r="F24" s="132">
        <f>770+8753</f>
        <v>9523</v>
      </c>
      <c r="G24" s="132">
        <v>9715</v>
      </c>
      <c r="H24" s="132">
        <v>11099</v>
      </c>
      <c r="I24" s="132">
        <v>12790</v>
      </c>
      <c r="J24" s="9">
        <v>6613</v>
      </c>
      <c r="K24" s="9">
        <v>7928</v>
      </c>
      <c r="L24" s="9">
        <v>10534</v>
      </c>
      <c r="M24" s="9">
        <v>10635</v>
      </c>
      <c r="N24" s="9">
        <v>12510</v>
      </c>
      <c r="O24" s="9">
        <v>16335</v>
      </c>
      <c r="P24" s="9">
        <v>20352</v>
      </c>
      <c r="Q24" s="169">
        <f t="shared" si="7"/>
        <v>63.753213367609249</v>
      </c>
      <c r="R24" s="169">
        <f t="shared" si="8"/>
        <v>78.948032290615544</v>
      </c>
      <c r="S24" s="169">
        <f t="shared" si="9"/>
        <v>80.017087526105939</v>
      </c>
      <c r="T24" s="169">
        <f t="shared" si="10"/>
        <v>89.543958627174419</v>
      </c>
      <c r="U24" s="169">
        <f t="shared" si="11"/>
        <v>77.657873701039165</v>
      </c>
      <c r="V24" s="169">
        <f t="shared" si="12"/>
        <v>67.946127946127945</v>
      </c>
      <c r="W24" s="169">
        <f t="shared" si="12"/>
        <v>62.843946540880502</v>
      </c>
    </row>
    <row r="25" spans="1:23" ht="16.5" customHeight="1">
      <c r="A25" s="3">
        <v>18</v>
      </c>
      <c r="B25" s="6" t="s">
        <v>31</v>
      </c>
      <c r="C25" s="132">
        <f>182.15+2984.58</f>
        <v>3166.73</v>
      </c>
      <c r="D25" s="132">
        <f>147.07+3800.67</f>
        <v>3947.7400000000002</v>
      </c>
      <c r="E25" s="132">
        <f>268.69+5125.38</f>
        <v>5394.07</v>
      </c>
      <c r="F25" s="132">
        <f>377.66+5434.06</f>
        <v>5811.72</v>
      </c>
      <c r="G25" s="132">
        <f>155.53+6150.05</f>
        <v>6305.58</v>
      </c>
      <c r="H25" s="132">
        <v>6446.02</v>
      </c>
      <c r="I25" s="132">
        <v>8143.59</v>
      </c>
      <c r="J25" s="9">
        <v>5953.78</v>
      </c>
      <c r="K25" s="9">
        <v>7083.01</v>
      </c>
      <c r="L25" s="9">
        <v>6732.57</v>
      </c>
      <c r="M25" s="9">
        <v>8795.51</v>
      </c>
      <c r="N25" s="9">
        <v>10943.67</v>
      </c>
      <c r="O25" s="9">
        <v>12438.01</v>
      </c>
      <c r="P25" s="9">
        <v>19151.900000000001</v>
      </c>
      <c r="Q25" s="169">
        <f t="shared" si="7"/>
        <v>53.188562560255839</v>
      </c>
      <c r="R25" s="169">
        <f t="shared" si="8"/>
        <v>55.735344154533173</v>
      </c>
      <c r="S25" s="169">
        <f t="shared" si="9"/>
        <v>80.119033296348945</v>
      </c>
      <c r="T25" s="169">
        <f t="shared" si="10"/>
        <v>66.075986497656189</v>
      </c>
      <c r="U25" s="169">
        <f t="shared" si="11"/>
        <v>57.618513716148236</v>
      </c>
      <c r="V25" s="169">
        <f t="shared" si="12"/>
        <v>51.825171389957077</v>
      </c>
      <c r="W25" s="169">
        <f t="shared" si="12"/>
        <v>42.521055352210482</v>
      </c>
    </row>
    <row r="26" spans="1:23" ht="16.5" customHeight="1">
      <c r="A26" s="3">
        <v>19</v>
      </c>
      <c r="B26" s="6" t="s">
        <v>32</v>
      </c>
      <c r="C26" s="132">
        <v>7964</v>
      </c>
      <c r="D26" s="132">
        <v>9256</v>
      </c>
      <c r="E26" s="132">
        <v>9444</v>
      </c>
      <c r="F26" s="132">
        <v>9951</v>
      </c>
      <c r="G26" s="132">
        <v>11546</v>
      </c>
      <c r="H26" s="132">
        <v>15700</v>
      </c>
      <c r="I26" s="132">
        <v>17382</v>
      </c>
      <c r="J26" s="9">
        <v>16263.04</v>
      </c>
      <c r="K26" s="9">
        <v>19889.16</v>
      </c>
      <c r="L26" s="9">
        <v>24337</v>
      </c>
      <c r="M26" s="9">
        <v>29506</v>
      </c>
      <c r="N26" s="9">
        <v>35219</v>
      </c>
      <c r="O26" s="9">
        <v>37453</v>
      </c>
      <c r="P26" s="9">
        <v>50847</v>
      </c>
      <c r="Q26" s="169">
        <f t="shared" si="7"/>
        <v>48.969934280429733</v>
      </c>
      <c r="R26" s="169">
        <f t="shared" si="8"/>
        <v>46.537913114480453</v>
      </c>
      <c r="S26" s="169">
        <f t="shared" si="9"/>
        <v>38.805111558532275</v>
      </c>
      <c r="T26" s="169">
        <f t="shared" si="10"/>
        <v>33.725343997830947</v>
      </c>
      <c r="U26" s="169">
        <f t="shared" si="11"/>
        <v>32.783440756409895</v>
      </c>
      <c r="V26" s="169">
        <f t="shared" si="12"/>
        <v>41.919205404106478</v>
      </c>
      <c r="W26" s="169">
        <f t="shared" si="12"/>
        <v>34.184907664168982</v>
      </c>
    </row>
    <row r="27" spans="1:23" ht="16.5" customHeight="1">
      <c r="A27" s="3">
        <v>20</v>
      </c>
      <c r="B27" s="6" t="s">
        <v>33</v>
      </c>
      <c r="C27" s="132">
        <v>7367.12</v>
      </c>
      <c r="D27" s="132">
        <v>8800.9500000000007</v>
      </c>
      <c r="E27" s="132">
        <v>9799.3799999999992</v>
      </c>
      <c r="F27" s="132">
        <v>10698.32</v>
      </c>
      <c r="G27" s="132">
        <f>566.48+8700.3</f>
        <v>9266.7799999999988</v>
      </c>
      <c r="H27" s="132">
        <f>511.31+8178.05</f>
        <v>8689.36</v>
      </c>
      <c r="I27" s="132">
        <v>17850.27</v>
      </c>
      <c r="J27" s="9">
        <v>4548.87</v>
      </c>
      <c r="K27" s="9">
        <v>5461.87</v>
      </c>
      <c r="L27" s="9">
        <v>6785.41</v>
      </c>
      <c r="M27" s="9">
        <v>7280.71</v>
      </c>
      <c r="N27" s="9">
        <v>9141.98</v>
      </c>
      <c r="O27" s="9">
        <v>11874.59</v>
      </c>
      <c r="P27" s="9">
        <v>8774</v>
      </c>
      <c r="Q27" s="169">
        <f t="shared" si="7"/>
        <v>161.95494705278455</v>
      </c>
      <c r="R27" s="169">
        <f t="shared" si="8"/>
        <v>161.13437339226311</v>
      </c>
      <c r="S27" s="169">
        <f t="shared" si="9"/>
        <v>144.41839181420136</v>
      </c>
      <c r="T27" s="169">
        <f t="shared" si="10"/>
        <v>146.94061430821995</v>
      </c>
      <c r="U27" s="169">
        <f t="shared" si="11"/>
        <v>101.36513096725217</v>
      </c>
      <c r="V27" s="169">
        <f t="shared" si="12"/>
        <v>73.176084395334911</v>
      </c>
      <c r="W27" s="169">
        <f t="shared" si="12"/>
        <v>203.44506496466838</v>
      </c>
    </row>
    <row r="28" spans="1:23" ht="16.5" customHeight="1">
      <c r="A28" s="3">
        <v>21</v>
      </c>
      <c r="B28" s="6" t="s">
        <v>34</v>
      </c>
      <c r="C28" s="132">
        <v>6533.57</v>
      </c>
      <c r="D28" s="132">
        <v>8076.8899999999994</v>
      </c>
      <c r="E28" s="132">
        <v>10171.89</v>
      </c>
      <c r="F28" s="132">
        <v>12425.13</v>
      </c>
      <c r="G28" s="132">
        <v>13340.381000000001</v>
      </c>
      <c r="H28" s="132">
        <v>15203.19</v>
      </c>
      <c r="I28" s="132">
        <v>20472.13</v>
      </c>
      <c r="J28" s="9">
        <v>13763.15</v>
      </c>
      <c r="K28" s="9">
        <v>14802.22</v>
      </c>
      <c r="L28" s="9">
        <v>18378.41</v>
      </c>
      <c r="M28" s="9">
        <v>22520.86</v>
      </c>
      <c r="N28" s="9">
        <v>26268.66</v>
      </c>
      <c r="O28" s="9">
        <v>31192.29</v>
      </c>
      <c r="P28" s="9">
        <v>37608.17</v>
      </c>
      <c r="Q28" s="169">
        <f t="shared" si="7"/>
        <v>47.471472736982449</v>
      </c>
      <c r="R28" s="169">
        <f t="shared" si="8"/>
        <v>54.565396271640331</v>
      </c>
      <c r="S28" s="169">
        <f t="shared" si="9"/>
        <v>55.346953300095059</v>
      </c>
      <c r="T28" s="169">
        <f t="shared" si="10"/>
        <v>55.171649750497977</v>
      </c>
      <c r="U28" s="169">
        <f t="shared" si="11"/>
        <v>50.784398595131997</v>
      </c>
      <c r="V28" s="169">
        <f t="shared" si="12"/>
        <v>48.740217534525357</v>
      </c>
      <c r="W28" s="169">
        <f t="shared" si="12"/>
        <v>54.43532615386497</v>
      </c>
    </row>
    <row r="29" spans="1:23" ht="16.5" customHeight="1">
      <c r="A29" s="3">
        <v>22</v>
      </c>
      <c r="B29" s="6" t="s">
        <v>35</v>
      </c>
      <c r="C29" s="132">
        <f>1340.06+21539.11</f>
        <v>22879.170000000002</v>
      </c>
      <c r="D29" s="132">
        <f>943.92+23534.08</f>
        <v>24478</v>
      </c>
      <c r="E29" s="132">
        <f>1660.07+33807.84</f>
        <v>35467.909999999996</v>
      </c>
      <c r="F29" s="132">
        <f>1806.24+39939.76</f>
        <v>41746</v>
      </c>
      <c r="G29" s="132">
        <f>2732.74+42747.11</f>
        <v>45479.85</v>
      </c>
      <c r="H29" s="132">
        <f>3083.78+51797.22</f>
        <v>54881</v>
      </c>
      <c r="I29" s="132">
        <v>60679.999999999993</v>
      </c>
      <c r="J29" s="9">
        <v>19997.79</v>
      </c>
      <c r="K29" s="9">
        <v>25692.48</v>
      </c>
      <c r="L29" s="9">
        <v>31878.52</v>
      </c>
      <c r="M29" s="9">
        <v>33256.410000000003</v>
      </c>
      <c r="N29" s="9">
        <v>37507.58</v>
      </c>
      <c r="O29" s="9">
        <v>49715.01</v>
      </c>
      <c r="P29" s="9">
        <v>130380.03</v>
      </c>
      <c r="Q29" s="169">
        <f t="shared" si="7"/>
        <v>114.40849213838129</v>
      </c>
      <c r="R29" s="169">
        <f t="shared" si="8"/>
        <v>95.273013737871935</v>
      </c>
      <c r="S29" s="169">
        <f t="shared" si="9"/>
        <v>111.25958796079615</v>
      </c>
      <c r="T29" s="169">
        <f t="shared" si="10"/>
        <v>125.52768022766136</v>
      </c>
      <c r="U29" s="169">
        <f t="shared" si="11"/>
        <v>121.25509030441313</v>
      </c>
      <c r="V29" s="169">
        <f t="shared" si="12"/>
        <v>110.39120780625409</v>
      </c>
      <c r="W29" s="169">
        <f t="shared" si="12"/>
        <v>46.540869794246859</v>
      </c>
    </row>
    <row r="30" spans="1:23" ht="16.5" customHeight="1">
      <c r="A30" s="3">
        <v>23</v>
      </c>
      <c r="B30" s="6" t="s">
        <v>74</v>
      </c>
      <c r="C30" s="132">
        <v>4745.4399999999996</v>
      </c>
      <c r="D30" s="132">
        <v>7033.66</v>
      </c>
      <c r="E30" s="132">
        <v>8465.8799999999992</v>
      </c>
      <c r="F30" s="132">
        <f>423.22+8415.7</f>
        <v>8838.92</v>
      </c>
      <c r="G30" s="132">
        <f>388.65+8357.09</f>
        <v>8745.74</v>
      </c>
      <c r="H30" s="132">
        <v>9515.42</v>
      </c>
      <c r="I30" s="132">
        <v>14523.849999999999</v>
      </c>
      <c r="J30" s="9">
        <v>7045.88</v>
      </c>
      <c r="K30" s="9">
        <v>8933.01</v>
      </c>
      <c r="L30" s="9">
        <v>8892.2199999999993</v>
      </c>
      <c r="M30" s="9">
        <v>11754.85</v>
      </c>
      <c r="N30" s="9">
        <v>14157.54</v>
      </c>
      <c r="O30" s="9">
        <v>17336.82</v>
      </c>
      <c r="P30" s="9">
        <v>22344.52</v>
      </c>
      <c r="Q30" s="169">
        <f t="shared" si="7"/>
        <v>67.350565152968827</v>
      </c>
      <c r="R30" s="169">
        <f t="shared" si="8"/>
        <v>78.737849840087492</v>
      </c>
      <c r="S30" s="169">
        <f t="shared" si="9"/>
        <v>95.205471749461893</v>
      </c>
      <c r="T30" s="169">
        <f t="shared" si="10"/>
        <v>75.193813617357947</v>
      </c>
      <c r="U30" s="169">
        <f t="shared" si="11"/>
        <v>61.774432563849366</v>
      </c>
      <c r="V30" s="169">
        <f t="shared" si="12"/>
        <v>54.885613393921147</v>
      </c>
      <c r="W30" s="169">
        <f t="shared" si="12"/>
        <v>64.999606167418222</v>
      </c>
    </row>
    <row r="31" spans="1:23" ht="16.5" customHeight="1">
      <c r="A31" s="3">
        <v>24</v>
      </c>
      <c r="B31" s="6" t="s">
        <v>36</v>
      </c>
      <c r="C31" s="132">
        <f>155.6+6160.81</f>
        <v>6316.4100000000008</v>
      </c>
      <c r="D31" s="132">
        <f>6567.44+177.37</f>
        <v>6744.8099999999995</v>
      </c>
      <c r="E31" s="132">
        <f>7920.52+210.79</f>
        <v>8131.31</v>
      </c>
      <c r="F31" s="132">
        <f>9372.19+262.99</f>
        <v>9635.18</v>
      </c>
      <c r="G31" s="132">
        <f>11887.5+386.29</f>
        <v>12273.79</v>
      </c>
      <c r="H31" s="132">
        <f>13513.38+355.26</f>
        <v>13868.64</v>
      </c>
      <c r="I31" s="132">
        <f>14755.54+513.58</f>
        <v>15269.12</v>
      </c>
      <c r="J31" s="9">
        <v>3082.98</v>
      </c>
      <c r="K31" s="9">
        <v>4025.13</v>
      </c>
      <c r="L31" s="9">
        <v>3404.35</v>
      </c>
      <c r="M31" s="9">
        <v>4486.72</v>
      </c>
      <c r="N31" s="9">
        <v>3364.34</v>
      </c>
      <c r="O31" s="9">
        <v>4799.7299999999996</v>
      </c>
      <c r="P31" s="9">
        <v>11905.61</v>
      </c>
      <c r="Q31" s="169">
        <f t="shared" si="7"/>
        <v>204.88001868322212</v>
      </c>
      <c r="R31" s="169">
        <f t="shared" si="8"/>
        <v>167.56750713641546</v>
      </c>
      <c r="S31" s="169">
        <f t="shared" si="9"/>
        <v>238.85058821801519</v>
      </c>
      <c r="T31" s="169">
        <f t="shared" si="10"/>
        <v>214.74885885457527</v>
      </c>
      <c r="U31" s="169">
        <f t="shared" si="11"/>
        <v>364.82014302953922</v>
      </c>
      <c r="V31" s="169">
        <f t="shared" si="12"/>
        <v>288.94625322674403</v>
      </c>
      <c r="W31" s="169">
        <f t="shared" si="12"/>
        <v>128.25147136517992</v>
      </c>
    </row>
    <row r="32" spans="1:23" ht="16.5" customHeight="1">
      <c r="A32" s="3">
        <v>25</v>
      </c>
      <c r="B32" s="6" t="s">
        <v>37</v>
      </c>
      <c r="C32" s="132">
        <v>7691.85</v>
      </c>
      <c r="D32" s="132">
        <v>11269.49</v>
      </c>
      <c r="E32" s="132">
        <v>13802.12</v>
      </c>
      <c r="F32" s="132">
        <v>13351.22</v>
      </c>
      <c r="G32" s="132">
        <v>14479.89</v>
      </c>
      <c r="H32" s="132">
        <v>16406.580000000002</v>
      </c>
      <c r="I32" s="132">
        <v>20121.939999999999</v>
      </c>
      <c r="J32" s="9">
        <v>10943.62</v>
      </c>
      <c r="K32" s="9">
        <v>12190.11</v>
      </c>
      <c r="L32" s="9">
        <v>12568.73</v>
      </c>
      <c r="M32" s="9">
        <v>14172.46</v>
      </c>
      <c r="N32" s="9">
        <v>20569.5</v>
      </c>
      <c r="O32" s="9">
        <v>27159.27</v>
      </c>
      <c r="P32" s="9">
        <v>31516.26</v>
      </c>
      <c r="Q32" s="169">
        <f t="shared" si="7"/>
        <v>70.28615759684638</v>
      </c>
      <c r="R32" s="169">
        <f t="shared" si="8"/>
        <v>92.44781220185871</v>
      </c>
      <c r="S32" s="169">
        <f t="shared" si="9"/>
        <v>109.81316330289536</v>
      </c>
      <c r="T32" s="169">
        <f t="shared" si="10"/>
        <v>94.205381422844027</v>
      </c>
      <c r="U32" s="169">
        <f t="shared" si="11"/>
        <v>70.394953693575431</v>
      </c>
      <c r="V32" s="169">
        <f t="shared" si="12"/>
        <v>60.408766509556408</v>
      </c>
      <c r="W32" s="169">
        <f t="shared" si="12"/>
        <v>63.846217793608758</v>
      </c>
    </row>
    <row r="33" spans="1:23" ht="16.5" customHeight="1">
      <c r="A33" s="3">
        <v>26</v>
      </c>
      <c r="B33" s="6" t="s">
        <v>38</v>
      </c>
      <c r="C33" s="132">
        <v>11005.84</v>
      </c>
      <c r="D33" s="132">
        <v>14265.63</v>
      </c>
      <c r="E33" s="132">
        <v>17275.68</v>
      </c>
      <c r="F33" s="132">
        <v>21545.200000000001</v>
      </c>
      <c r="G33" s="132">
        <v>23602.5</v>
      </c>
      <c r="H33" s="132">
        <v>27338.14</v>
      </c>
      <c r="I33" s="132">
        <v>34570</v>
      </c>
      <c r="J33" s="9">
        <v>15855.11</v>
      </c>
      <c r="K33" s="9">
        <v>20519.2</v>
      </c>
      <c r="L33" s="9">
        <v>21831.279999999999</v>
      </c>
      <c r="M33" s="9">
        <v>26777.87</v>
      </c>
      <c r="N33" s="9">
        <v>34129.870000000003</v>
      </c>
      <c r="O33" s="9">
        <v>36721.269999999997</v>
      </c>
      <c r="P33" s="9">
        <v>38805.14</v>
      </c>
      <c r="Q33" s="169">
        <f t="shared" si="7"/>
        <v>69.415097088572708</v>
      </c>
      <c r="R33" s="169">
        <f t="shared" si="8"/>
        <v>69.523324496081713</v>
      </c>
      <c r="S33" s="169">
        <f t="shared" si="9"/>
        <v>79.132694006031727</v>
      </c>
      <c r="T33" s="169">
        <f t="shared" si="10"/>
        <v>80.458976012655242</v>
      </c>
      <c r="U33" s="169">
        <f t="shared" si="11"/>
        <v>69.154966016571407</v>
      </c>
      <c r="V33" s="169">
        <f t="shared" si="12"/>
        <v>74.447697478872598</v>
      </c>
      <c r="W33" s="169">
        <f t="shared" si="12"/>
        <v>89.086136527274491</v>
      </c>
    </row>
    <row r="34" spans="1:23" ht="16.5" customHeight="1">
      <c r="A34" s="3">
        <v>27</v>
      </c>
      <c r="B34" s="6" t="s">
        <v>39</v>
      </c>
      <c r="C34" s="132">
        <v>19603.89</v>
      </c>
      <c r="D34" s="132">
        <v>14156.88</v>
      </c>
      <c r="E34" s="132">
        <v>19711.009999999998</v>
      </c>
      <c r="F34" s="132">
        <f>19170.15+3489.03</f>
        <v>22659.18</v>
      </c>
      <c r="G34" s="132">
        <f>23481.66+3179.05</f>
        <v>26660.71</v>
      </c>
      <c r="H34" s="132">
        <f>25787.02+4821.6</f>
        <v>30608.620000000003</v>
      </c>
      <c r="I34" s="132">
        <v>33895.839999999997</v>
      </c>
      <c r="J34" s="9">
        <v>25831.200000000001</v>
      </c>
      <c r="K34" s="9">
        <v>35769.15</v>
      </c>
      <c r="L34" s="9">
        <v>35304.89</v>
      </c>
      <c r="M34" s="9">
        <v>41237.89</v>
      </c>
      <c r="N34" s="9">
        <v>43765.49</v>
      </c>
      <c r="O34" s="9">
        <v>56782.39</v>
      </c>
      <c r="P34" s="9">
        <v>67016.53</v>
      </c>
      <c r="Q34" s="169">
        <f t="shared" si="7"/>
        <v>75.892293040973698</v>
      </c>
      <c r="R34" s="169">
        <f t="shared" si="8"/>
        <v>39.57846356427256</v>
      </c>
      <c r="S34" s="169">
        <f t="shared" si="9"/>
        <v>55.830821169532044</v>
      </c>
      <c r="T34" s="169">
        <f t="shared" si="10"/>
        <v>54.947476701645016</v>
      </c>
      <c r="U34" s="169">
        <f t="shared" si="11"/>
        <v>60.917197545371934</v>
      </c>
      <c r="V34" s="169">
        <f t="shared" si="12"/>
        <v>53.905127980699653</v>
      </c>
      <c r="W34" s="169">
        <f t="shared" si="12"/>
        <v>50.578327466372841</v>
      </c>
    </row>
    <row r="35" spans="1:23" ht="16.5" customHeight="1">
      <c r="A35" s="3">
        <v>28</v>
      </c>
      <c r="B35" s="6" t="s">
        <v>40</v>
      </c>
      <c r="C35" s="132">
        <v>11618.4</v>
      </c>
      <c r="D35" s="132">
        <v>12985.59</v>
      </c>
      <c r="E35" s="132">
        <v>20826.669999999998</v>
      </c>
      <c r="F35" s="132">
        <v>23727.95</v>
      </c>
      <c r="G35" s="132">
        <v>25483.89</v>
      </c>
      <c r="H35" s="132">
        <v>26684.799999999999</v>
      </c>
      <c r="I35" s="132">
        <v>31037.74</v>
      </c>
      <c r="J35" s="9">
        <v>10435.19</v>
      </c>
      <c r="K35" s="9">
        <v>12469.51</v>
      </c>
      <c r="L35" s="9">
        <v>14161.31</v>
      </c>
      <c r="M35" s="9">
        <v>14615.17</v>
      </c>
      <c r="N35" s="9">
        <v>17213.52</v>
      </c>
      <c r="O35" s="9">
        <v>22490.79</v>
      </c>
      <c r="P35" s="9">
        <v>31929.93</v>
      </c>
      <c r="Q35" s="169">
        <f t="shared" si="7"/>
        <v>111.33865315341647</v>
      </c>
      <c r="R35" s="169">
        <f t="shared" si="8"/>
        <v>104.13873520290693</v>
      </c>
      <c r="S35" s="169">
        <f t="shared" si="9"/>
        <v>147.06739701341189</v>
      </c>
      <c r="T35" s="169">
        <f t="shared" si="10"/>
        <v>162.35151558278145</v>
      </c>
      <c r="U35" s="169">
        <f t="shared" si="11"/>
        <v>148.04578029362966</v>
      </c>
      <c r="V35" s="169">
        <f t="shared" si="12"/>
        <v>118.64767756045917</v>
      </c>
      <c r="W35" s="169">
        <f t="shared" si="12"/>
        <v>97.20578779846997</v>
      </c>
    </row>
    <row r="36" spans="1:23" s="67" customFormat="1" ht="16.5" customHeight="1">
      <c r="A36" s="4"/>
      <c r="B36" s="4" t="s">
        <v>190</v>
      </c>
      <c r="C36" s="133">
        <f t="shared" ref="C36:P36" si="13">SUM(C19:C35)</f>
        <v>143207.07</v>
      </c>
      <c r="D36" s="133">
        <f t="shared" si="13"/>
        <v>160762.23000000001</v>
      </c>
      <c r="E36" s="133">
        <f t="shared" si="13"/>
        <v>206983.09000000003</v>
      </c>
      <c r="F36" s="133">
        <f t="shared" si="13"/>
        <v>246054.64000000004</v>
      </c>
      <c r="G36" s="133">
        <f t="shared" si="13"/>
        <v>268771.97099999996</v>
      </c>
      <c r="H36" s="133">
        <f t="shared" si="13"/>
        <v>302622.67000000004</v>
      </c>
      <c r="I36" s="133">
        <f t="shared" si="13"/>
        <v>365425.89</v>
      </c>
      <c r="J36" s="65">
        <f t="shared" si="13"/>
        <v>202845.80000000005</v>
      </c>
      <c r="K36" s="65">
        <f t="shared" si="13"/>
        <v>252523.22</v>
      </c>
      <c r="L36" s="65">
        <f t="shared" si="13"/>
        <v>275920.44</v>
      </c>
      <c r="M36" s="65">
        <f t="shared" si="13"/>
        <v>319518.43</v>
      </c>
      <c r="N36" s="65">
        <f t="shared" si="13"/>
        <v>377556.06000000006</v>
      </c>
      <c r="O36" s="65">
        <f t="shared" si="13"/>
        <v>461175.42000000004</v>
      </c>
      <c r="P36" s="65">
        <f t="shared" si="13"/>
        <v>646576.81000000006</v>
      </c>
      <c r="Q36" s="170">
        <f t="shared" si="7"/>
        <v>70.59898208392778</v>
      </c>
      <c r="R36" s="170">
        <f t="shared" si="8"/>
        <v>63.662355485566835</v>
      </c>
      <c r="S36" s="170">
        <f t="shared" si="9"/>
        <v>75.015497220865555</v>
      </c>
      <c r="T36" s="170">
        <f>+F36/M36*100</f>
        <v>77.00796476747837</v>
      </c>
      <c r="U36" s="170">
        <f>+G36/N36*100</f>
        <v>71.187301562581169</v>
      </c>
      <c r="V36" s="170">
        <f>+H36/O36*100</f>
        <v>65.619861093203966</v>
      </c>
      <c r="W36" s="170">
        <f>+I36/P36*100</f>
        <v>56.517011490096593</v>
      </c>
    </row>
    <row r="37" spans="1:23" ht="16.5" customHeight="1">
      <c r="A37" s="6"/>
      <c r="B37" s="4" t="s">
        <v>53</v>
      </c>
      <c r="C37" s="132"/>
      <c r="D37" s="132"/>
      <c r="E37" s="132"/>
      <c r="F37" s="132"/>
      <c r="G37" s="132"/>
      <c r="H37" s="132"/>
      <c r="I37" s="132">
        <f>29104.71+4791.13</f>
        <v>33895.839999999997</v>
      </c>
      <c r="J37" s="13"/>
      <c r="K37" s="13"/>
      <c r="L37" s="9"/>
      <c r="M37" s="9"/>
      <c r="N37" s="9"/>
      <c r="O37" s="9"/>
      <c r="P37" s="9"/>
      <c r="Q37" s="169"/>
      <c r="R37" s="169"/>
      <c r="S37" s="169"/>
      <c r="T37" s="169"/>
      <c r="U37" s="169"/>
      <c r="V37" s="169"/>
      <c r="W37" s="169"/>
    </row>
    <row r="38" spans="1:23" ht="16.5" customHeight="1">
      <c r="A38" s="3">
        <v>29</v>
      </c>
      <c r="B38" s="6" t="s">
        <v>43</v>
      </c>
      <c r="C38" s="132">
        <v>1713.62</v>
      </c>
      <c r="D38" s="132">
        <v>2905.18</v>
      </c>
      <c r="E38" s="132">
        <v>3836.32</v>
      </c>
      <c r="F38" s="132">
        <v>3431.86</v>
      </c>
      <c r="G38" s="132">
        <v>3784.94</v>
      </c>
      <c r="H38" s="132">
        <v>4260.92</v>
      </c>
      <c r="I38" s="132">
        <v>5027.0600000000004</v>
      </c>
      <c r="J38" s="9">
        <v>8785.0400000000009</v>
      </c>
      <c r="K38" s="9">
        <v>9635.35</v>
      </c>
      <c r="L38" s="9">
        <v>11128.24</v>
      </c>
      <c r="M38" s="9">
        <v>10544.26</v>
      </c>
      <c r="N38" s="9">
        <v>13700.3</v>
      </c>
      <c r="O38" s="9">
        <v>13404.49</v>
      </c>
      <c r="P38" s="9">
        <v>16450</v>
      </c>
      <c r="Q38" s="169">
        <f t="shared" ref="Q38:S40" si="14">+C38/J38*100</f>
        <v>19.506114940853994</v>
      </c>
      <c r="R38" s="169">
        <f t="shared" si="14"/>
        <v>30.15126591146144</v>
      </c>
      <c r="S38" s="169">
        <f t="shared" si="14"/>
        <v>34.473735289677435</v>
      </c>
      <c r="T38" s="169">
        <f t="shared" ref="T38:W39" si="15">+F38/M38*100</f>
        <v>32.547186810643893</v>
      </c>
      <c r="U38" s="169">
        <f t="shared" si="15"/>
        <v>27.626694305964104</v>
      </c>
      <c r="V38" s="169">
        <f t="shared" si="15"/>
        <v>31.787259343697521</v>
      </c>
      <c r="W38" s="169">
        <f t="shared" si="15"/>
        <v>30.559635258358664</v>
      </c>
    </row>
    <row r="39" spans="1:23" ht="16.5" customHeight="1">
      <c r="A39" s="3">
        <v>30</v>
      </c>
      <c r="B39" s="6" t="s">
        <v>44</v>
      </c>
      <c r="C39" s="132">
        <f>109+336</f>
        <v>445</v>
      </c>
      <c r="D39" s="132">
        <f>173+515</f>
        <v>688</v>
      </c>
      <c r="E39" s="132">
        <f>220+648</f>
        <v>868</v>
      </c>
      <c r="F39" s="132">
        <f>271+740</f>
        <v>1011</v>
      </c>
      <c r="G39" s="132">
        <f>242.18+705.86</f>
        <v>948.04</v>
      </c>
      <c r="H39" s="132">
        <v>969.08</v>
      </c>
      <c r="I39" s="132">
        <v>1215.98</v>
      </c>
      <c r="J39" s="9">
        <v>1112</v>
      </c>
      <c r="K39" s="9">
        <v>1077</v>
      </c>
      <c r="L39" s="9">
        <v>1461</v>
      </c>
      <c r="M39" s="9">
        <v>1590</v>
      </c>
      <c r="N39" s="9">
        <v>1648</v>
      </c>
      <c r="O39" s="9">
        <v>1272.3900000000001</v>
      </c>
      <c r="P39" s="9">
        <v>1807.71</v>
      </c>
      <c r="Q39" s="169">
        <f t="shared" si="14"/>
        <v>40.017985611510795</v>
      </c>
      <c r="R39" s="169">
        <f t="shared" si="14"/>
        <v>63.881151346332409</v>
      </c>
      <c r="S39" s="169">
        <f t="shared" si="14"/>
        <v>59.411362080766594</v>
      </c>
      <c r="T39" s="169">
        <f t="shared" si="15"/>
        <v>63.584905660377359</v>
      </c>
      <c r="U39" s="169">
        <f t="shared" si="15"/>
        <v>57.526699029126213</v>
      </c>
      <c r="V39" s="169">
        <f t="shared" si="15"/>
        <v>76.162182978489298</v>
      </c>
      <c r="W39" s="169">
        <f t="shared" si="15"/>
        <v>67.266320372183586</v>
      </c>
    </row>
    <row r="40" spans="1:23" ht="16.5" customHeight="1">
      <c r="A40" s="6"/>
      <c r="B40" s="4" t="s">
        <v>54</v>
      </c>
      <c r="C40" s="133">
        <f t="shared" ref="C40:K40" si="16">SUM(C38:C39)</f>
        <v>2158.62</v>
      </c>
      <c r="D40" s="133">
        <f t="shared" si="16"/>
        <v>3593.18</v>
      </c>
      <c r="E40" s="133">
        <f>SUM(E38:E39)</f>
        <v>4704.32</v>
      </c>
      <c r="F40" s="133">
        <f>SUM(F38:F39)</f>
        <v>4442.8600000000006</v>
      </c>
      <c r="G40" s="133">
        <f>SUM(G38:G39)</f>
        <v>4732.9799999999996</v>
      </c>
      <c r="H40" s="133">
        <f>SUM(H38:H39)</f>
        <v>5230</v>
      </c>
      <c r="I40" s="133">
        <f>SUM(I38:I39)</f>
        <v>6243.0400000000009</v>
      </c>
      <c r="J40" s="65">
        <f t="shared" si="16"/>
        <v>9897.0400000000009</v>
      </c>
      <c r="K40" s="65">
        <f t="shared" si="16"/>
        <v>10712.35</v>
      </c>
      <c r="L40" s="65">
        <f>SUM(L38:L39)</f>
        <v>12589.24</v>
      </c>
      <c r="M40" s="65">
        <f>SUM(M38:M39)</f>
        <v>12134.26</v>
      </c>
      <c r="N40" s="65">
        <f>SUM(N38:N39)</f>
        <v>15348.3</v>
      </c>
      <c r="O40" s="65">
        <f>SUM(O38:O39)</f>
        <v>14676.88</v>
      </c>
      <c r="P40" s="65">
        <f>SUM(P38:P39)</f>
        <v>18257.71</v>
      </c>
      <c r="Q40" s="170">
        <f t="shared" si="14"/>
        <v>21.810763622254729</v>
      </c>
      <c r="R40" s="170">
        <f t="shared" si="14"/>
        <v>33.542406661470167</v>
      </c>
      <c r="S40" s="170">
        <f t="shared" si="14"/>
        <v>37.367783917059327</v>
      </c>
      <c r="T40" s="170">
        <f>+F40/M40*100</f>
        <v>36.61418166414763</v>
      </c>
      <c r="U40" s="170">
        <f>+G40/N40*100</f>
        <v>30.837161118820976</v>
      </c>
      <c r="V40" s="170">
        <f t="shared" ref="V40:W42" si="17">+H40/O40*100</f>
        <v>35.63427649473185</v>
      </c>
      <c r="W40" s="170">
        <f t="shared" si="17"/>
        <v>34.193992565332678</v>
      </c>
    </row>
    <row r="41" spans="1:23" ht="6.75" customHeight="1">
      <c r="A41" s="6"/>
      <c r="B41" s="6"/>
      <c r="C41" s="132"/>
      <c r="D41" s="132"/>
      <c r="E41" s="132"/>
      <c r="F41" s="132"/>
      <c r="G41" s="132"/>
      <c r="H41" s="132"/>
      <c r="I41" s="132"/>
      <c r="J41" s="13"/>
      <c r="K41" s="13"/>
      <c r="L41" s="9"/>
      <c r="M41" s="9"/>
      <c r="N41" s="9"/>
      <c r="O41" s="9"/>
      <c r="P41" s="9"/>
      <c r="Q41" s="169"/>
      <c r="R41" s="169"/>
      <c r="S41" s="170"/>
      <c r="T41" s="170"/>
      <c r="U41" s="170"/>
      <c r="V41" s="170"/>
      <c r="W41" s="170"/>
    </row>
    <row r="42" spans="1:23" s="67" customFormat="1">
      <c r="A42" s="4"/>
      <c r="B42" s="4" t="s">
        <v>46</v>
      </c>
      <c r="C42" s="133">
        <f t="shared" ref="C42:K42" si="18">+C17+C36+C40</f>
        <v>166685.41</v>
      </c>
      <c r="D42" s="133">
        <f t="shared" si="18"/>
        <v>188501.43</v>
      </c>
      <c r="E42" s="133">
        <f>+E17+E36+E40</f>
        <v>242532.41000000003</v>
      </c>
      <c r="F42" s="133">
        <f>+F17+F36+F40</f>
        <v>291411.45</v>
      </c>
      <c r="G42" s="133">
        <f>+G17+G36+G40</f>
        <v>316671.18099999992</v>
      </c>
      <c r="H42" s="133">
        <f>+H17+H36+H40</f>
        <v>356477.39</v>
      </c>
      <c r="I42" s="133">
        <f>+I17+I36+I40</f>
        <v>428467.43</v>
      </c>
      <c r="J42" s="65">
        <f t="shared" si="18"/>
        <v>236194.28000000006</v>
      </c>
      <c r="K42" s="65">
        <f t="shared" si="18"/>
        <v>292212.82999999996</v>
      </c>
      <c r="L42" s="65">
        <f>+L17+L36+L40</f>
        <v>320048.19</v>
      </c>
      <c r="M42" s="65">
        <f>+M17+M36+M40</f>
        <v>367580.94</v>
      </c>
      <c r="N42" s="65">
        <f>+N17+N36+N40</f>
        <v>432266.47000000003</v>
      </c>
      <c r="O42" s="65">
        <f>+O17+O36+O40</f>
        <v>519089.53</v>
      </c>
      <c r="P42" s="65">
        <f>+P17+P36+P40</f>
        <v>724368.4</v>
      </c>
      <c r="Q42" s="170">
        <f>+C42/J42*100</f>
        <v>70.57131527486608</v>
      </c>
      <c r="R42" s="170">
        <f>+D42/K42*100</f>
        <v>64.508266115488496</v>
      </c>
      <c r="S42" s="170">
        <f>+E42/L42*100</f>
        <v>75.779966135724763</v>
      </c>
      <c r="T42" s="170">
        <f>+F42/M42*100</f>
        <v>79.278172040149855</v>
      </c>
      <c r="U42" s="170">
        <f>+G42/N42*100</f>
        <v>73.258326281934359</v>
      </c>
      <c r="V42" s="170">
        <f t="shared" si="17"/>
        <v>68.67358507500623</v>
      </c>
      <c r="W42" s="170">
        <f t="shared" si="17"/>
        <v>59.150486133851224</v>
      </c>
    </row>
    <row r="43" spans="1:23" ht="15">
      <c r="B43" s="628" t="s">
        <v>187</v>
      </c>
      <c r="C43" s="628"/>
      <c r="D43" s="628"/>
      <c r="E43" s="628"/>
      <c r="F43" s="628"/>
      <c r="G43" s="628"/>
      <c r="H43" s="628"/>
      <c r="I43" s="628"/>
      <c r="J43" s="628"/>
    </row>
  </sheetData>
  <mergeCells count="7">
    <mergeCell ref="B43:J43"/>
    <mergeCell ref="A1:R1"/>
    <mergeCell ref="A2:A4"/>
    <mergeCell ref="B2:B3"/>
    <mergeCell ref="J2:P2"/>
    <mergeCell ref="C2:I2"/>
    <mergeCell ref="Q2:W2"/>
  </mergeCells>
  <phoneticPr fontId="42" type="noConversion"/>
  <printOptions horizontalCentered="1"/>
  <pageMargins left="0.35433070866141736" right="0.15748031496062992" top="0.78740157480314965" bottom="0.19685039370078741" header="0" footer="0"/>
  <pageSetup paperSize="9" scale="59" orientation="landscape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W47"/>
  <sheetViews>
    <sheetView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B5" sqref="B5"/>
    </sheetView>
  </sheetViews>
  <sheetFormatPr defaultRowHeight="12.75"/>
  <cols>
    <col min="1" max="1" width="5.42578125" style="27" customWidth="1"/>
    <col min="2" max="2" width="35.140625" style="27" customWidth="1"/>
    <col min="3" max="4" width="11.42578125" style="23" customWidth="1"/>
    <col min="5" max="7" width="11.28515625" style="23" customWidth="1"/>
    <col min="8" max="8" width="11.42578125" style="23" customWidth="1"/>
    <col min="9" max="9" width="10.7109375" style="23" customWidth="1"/>
    <col min="10" max="14" width="11.42578125" style="23" customWidth="1"/>
    <col min="15" max="15" width="11.85546875" style="23" customWidth="1"/>
    <col min="16" max="16" width="12.5703125" style="23" customWidth="1"/>
    <col min="17" max="18" width="11.42578125" style="27" customWidth="1"/>
    <col min="19" max="19" width="11.5703125" style="27" bestFit="1" customWidth="1"/>
    <col min="20" max="21" width="11.5703125" style="27" customWidth="1"/>
    <col min="22" max="22" width="11.85546875" style="27" customWidth="1"/>
    <col min="23" max="16384" width="9.140625" style="27"/>
  </cols>
  <sheetData>
    <row r="1" spans="1:23" ht="44.25" customHeight="1">
      <c r="A1" s="606" t="s">
        <v>100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7"/>
      <c r="Q1" s="607"/>
      <c r="R1" s="607"/>
    </row>
    <row r="2" spans="1:23" ht="39.75" customHeight="1">
      <c r="A2" s="599" t="s">
        <v>47</v>
      </c>
      <c r="B2" s="642" t="s">
        <v>118</v>
      </c>
      <c r="C2" s="644" t="s">
        <v>126</v>
      </c>
      <c r="D2" s="645"/>
      <c r="E2" s="645"/>
      <c r="F2" s="645"/>
      <c r="G2" s="645"/>
      <c r="H2" s="645"/>
      <c r="I2" s="646"/>
      <c r="J2" s="602" t="s">
        <v>158</v>
      </c>
      <c r="K2" s="603"/>
      <c r="L2" s="603"/>
      <c r="M2" s="603"/>
      <c r="N2" s="603"/>
      <c r="O2" s="603"/>
      <c r="P2" s="604"/>
      <c r="Q2" s="647" t="s">
        <v>111</v>
      </c>
      <c r="R2" s="647"/>
      <c r="S2" s="647"/>
      <c r="T2" s="647"/>
      <c r="U2" s="647"/>
      <c r="V2" s="647"/>
      <c r="W2" s="647"/>
    </row>
    <row r="3" spans="1:23" ht="34.5" customHeight="1">
      <c r="A3" s="599"/>
      <c r="B3" s="643"/>
      <c r="C3" s="123" t="s">
        <v>59</v>
      </c>
      <c r="D3" s="123" t="s">
        <v>68</v>
      </c>
      <c r="E3" s="123" t="s">
        <v>69</v>
      </c>
      <c r="F3" s="123" t="s">
        <v>124</v>
      </c>
      <c r="G3" s="123" t="s">
        <v>155</v>
      </c>
      <c r="H3" s="123" t="s">
        <v>154</v>
      </c>
      <c r="I3" s="123" t="s">
        <v>153</v>
      </c>
      <c r="J3" s="1" t="s">
        <v>70</v>
      </c>
      <c r="K3" s="1" t="s">
        <v>68</v>
      </c>
      <c r="L3" s="1" t="s">
        <v>69</v>
      </c>
      <c r="M3" s="1" t="s">
        <v>127</v>
      </c>
      <c r="N3" s="1" t="s">
        <v>157</v>
      </c>
      <c r="O3" s="1" t="s">
        <v>156</v>
      </c>
      <c r="P3" s="1" t="s">
        <v>153</v>
      </c>
      <c r="Q3" s="123" t="s">
        <v>59</v>
      </c>
      <c r="R3" s="123" t="s">
        <v>68</v>
      </c>
      <c r="S3" s="123" t="s">
        <v>69</v>
      </c>
      <c r="T3" s="123" t="s">
        <v>124</v>
      </c>
      <c r="U3" s="123" t="s">
        <v>155</v>
      </c>
      <c r="V3" s="123" t="s">
        <v>159</v>
      </c>
      <c r="W3" s="123" t="s">
        <v>153</v>
      </c>
    </row>
    <row r="4" spans="1:23" ht="19.5" customHeight="1">
      <c r="A4" s="92"/>
      <c r="B4" s="122">
        <v>41834</v>
      </c>
      <c r="C4" s="123"/>
      <c r="D4" s="123"/>
      <c r="E4" s="123"/>
      <c r="F4" s="123"/>
      <c r="G4" s="123"/>
      <c r="H4" s="123"/>
      <c r="I4" s="123"/>
      <c r="J4" s="1"/>
      <c r="K4" s="1"/>
      <c r="L4" s="1"/>
      <c r="M4" s="1"/>
      <c r="N4" s="1"/>
      <c r="O4" s="1"/>
      <c r="P4" s="1"/>
      <c r="Q4" s="123"/>
      <c r="R4" s="123"/>
      <c r="S4" s="123"/>
      <c r="T4" s="123"/>
      <c r="U4" s="123"/>
      <c r="V4" s="123"/>
      <c r="W4" s="123"/>
    </row>
    <row r="5" spans="1:23" ht="23.25" customHeight="1">
      <c r="A5" s="6"/>
      <c r="B5" s="4" t="s">
        <v>11</v>
      </c>
      <c r="C5" s="124"/>
      <c r="D5" s="124"/>
      <c r="E5" s="124"/>
      <c r="F5" s="124"/>
      <c r="G5" s="124"/>
      <c r="H5" s="124"/>
      <c r="I5" s="124"/>
      <c r="J5" s="5"/>
      <c r="K5" s="5"/>
      <c r="L5" s="5"/>
      <c r="M5" s="5"/>
      <c r="N5" s="5"/>
      <c r="O5" s="5"/>
      <c r="P5" s="5"/>
      <c r="Q5" s="125"/>
      <c r="R5" s="125"/>
      <c r="S5" s="140"/>
      <c r="T5" s="140"/>
      <c r="U5" s="140"/>
      <c r="V5" s="140"/>
      <c r="W5" s="140"/>
    </row>
    <row r="6" spans="1:23" ht="23.25" customHeight="1">
      <c r="A6" s="3">
        <v>1</v>
      </c>
      <c r="B6" s="6" t="s">
        <v>51</v>
      </c>
      <c r="C6" s="132">
        <f ca="1">+'Salaries (% Plan Expenditure)'!C6</f>
        <v>415.9</v>
      </c>
      <c r="D6" s="132">
        <f ca="1">+'Salaries (% Plan Expenditure)'!D6</f>
        <v>842.67</v>
      </c>
      <c r="E6" s="132">
        <f ca="1">+'Salaries (% Plan Expenditure)'!E6</f>
        <v>1462.47</v>
      </c>
      <c r="F6" s="132">
        <f ca="1">+'Salaries (% Plan Expenditure)'!F6</f>
        <v>1395.47</v>
      </c>
      <c r="G6" s="132">
        <f ca="1">+'Salaries (% Plan Expenditure)'!G6</f>
        <v>1995.94</v>
      </c>
      <c r="H6" s="132">
        <f ca="1">+'Salaries (% Plan Expenditure)'!H6</f>
        <v>1759.12</v>
      </c>
      <c r="I6" s="132">
        <f ca="1">+'Salaries (% Plan Expenditure)'!I6</f>
        <v>2235.1999999999998</v>
      </c>
      <c r="J6" s="64">
        <f ca="1">+'Worksheet Pension &amp; RE'!J6-'Worksheet Pension &amp; RE'!C6-'IP as % of TRR'!C6</f>
        <v>2160.98</v>
      </c>
      <c r="K6" s="64">
        <f ca="1">+'Worksheet Pension &amp; RE'!K6-'Worksheet Pension &amp; RE'!D6-'IP as % of TRR'!D6</f>
        <v>2664.5099999999998</v>
      </c>
      <c r="L6" s="64">
        <f ca="1">+'Worksheet Pension &amp; RE'!L6-'Worksheet Pension &amp; RE'!E6-'IP as % of TRR'!E6</f>
        <v>3284.77</v>
      </c>
      <c r="M6" s="64">
        <f ca="1">+'Worksheet Pension &amp; RE'!M6-'Worksheet Pension &amp; RE'!F6-'IP as % of TRR'!F6</f>
        <v>3122.05</v>
      </c>
      <c r="N6" s="64">
        <f ca="1">+'Worksheet Pension &amp; RE'!N6-'Worksheet Pension &amp; RE'!G6-'IP as % of TRR'!G6</f>
        <v>3898.07</v>
      </c>
      <c r="O6" s="64">
        <f ca="1">+'Worksheet Pension &amp; RE'!O6-'Worksheet Pension &amp; RE'!H6-'IP as % of TRR'!H6</f>
        <v>4187.5200000000004</v>
      </c>
      <c r="P6" s="64">
        <f ca="1">+'Worksheet Pension &amp; RE'!P6-'Worksheet Pension &amp; RE'!I6-'IP as % of TRR'!I6</f>
        <v>3991.8199999999997</v>
      </c>
      <c r="Q6" s="132">
        <f t="shared" ref="Q6:Q17" si="0">C6/J6*100</f>
        <v>19.245897694564501</v>
      </c>
      <c r="R6" s="132">
        <f t="shared" ref="R6:R17" si="1">D6/K6*100</f>
        <v>31.62570228672439</v>
      </c>
      <c r="S6" s="132">
        <f t="shared" ref="S6:S17" si="2">E6/L6*100</f>
        <v>44.522751973501954</v>
      </c>
      <c r="T6" s="132">
        <f>F6/M6*100</f>
        <v>44.697234189074486</v>
      </c>
      <c r="U6" s="132">
        <f>G6/N6*100</f>
        <v>51.203287780876174</v>
      </c>
      <c r="V6" s="132">
        <f>H6/O6*100</f>
        <v>42.008635182637924</v>
      </c>
      <c r="W6" s="132">
        <f>I6/P6*100</f>
        <v>55.994508770435537</v>
      </c>
    </row>
    <row r="7" spans="1:23" ht="23.25" customHeight="1">
      <c r="A7" s="3">
        <v>2</v>
      </c>
      <c r="B7" s="6" t="s">
        <v>13</v>
      </c>
      <c r="C7" s="132">
        <f ca="1">+'Salaries (% Plan Expenditure)'!C7</f>
        <v>5766.86</v>
      </c>
      <c r="D7" s="132">
        <f ca="1">+'Salaries (% Plan Expenditure)'!D7</f>
        <v>5415.29</v>
      </c>
      <c r="E7" s="132">
        <f ca="1">+'Salaries (% Plan Expenditure)'!E7</f>
        <v>6466.32</v>
      </c>
      <c r="F7" s="132">
        <f ca="1">+'Salaries (% Plan Expenditure)'!F7</f>
        <v>11590.62</v>
      </c>
      <c r="G7" s="132">
        <f ca="1">+'Salaries (% Plan Expenditure)'!G7</f>
        <v>9277.6200000000008</v>
      </c>
      <c r="H7" s="132">
        <f ca="1">+'Salaries (% Plan Expenditure)'!H7</f>
        <v>11988.56</v>
      </c>
      <c r="I7" s="132">
        <f ca="1">+'Salaries (% Plan Expenditure)'!I7</f>
        <v>12825.06</v>
      </c>
      <c r="J7" s="64">
        <f ca="1">+'Worksheet Pension &amp; RE'!J7-'Worksheet Pension &amp; RE'!C7-'IP as % of TRR'!C7</f>
        <v>9890.75</v>
      </c>
      <c r="K7" s="64">
        <f ca="1">+'Worksheet Pension &amp; RE'!K7-'Worksheet Pension &amp; RE'!D7-'IP as % of TRR'!D7</f>
        <v>11235.2</v>
      </c>
      <c r="L7" s="64">
        <f ca="1">+'Worksheet Pension &amp; RE'!L7-'Worksheet Pension &amp; RE'!E7-'IP as % of TRR'!E7</f>
        <v>14235.279999999999</v>
      </c>
      <c r="M7" s="64">
        <f ca="1">+'Worksheet Pension &amp; RE'!M7-'Worksheet Pension &amp; RE'!F7-'IP as % of TRR'!F7</f>
        <v>21977.32</v>
      </c>
      <c r="N7" s="64">
        <f ca="1">+'Worksheet Pension &amp; RE'!N7-'Worksheet Pension &amp; RE'!G7-'IP as % of TRR'!G7</f>
        <v>24763.72</v>
      </c>
      <c r="O7" s="64">
        <f ca="1">+'Worksheet Pension &amp; RE'!O7-'Worksheet Pension &amp; RE'!H7-'IP as % of TRR'!H7</f>
        <v>28652.37</v>
      </c>
      <c r="P7" s="64">
        <f ca="1">+'Worksheet Pension &amp; RE'!P7-'Worksheet Pension &amp; RE'!I7-'IP as % of TRR'!I7</f>
        <v>27329.08</v>
      </c>
      <c r="Q7" s="132">
        <f t="shared" si="0"/>
        <v>58.305588554962974</v>
      </c>
      <c r="R7" s="132">
        <f t="shared" si="1"/>
        <v>48.199319994303615</v>
      </c>
      <c r="S7" s="132">
        <f t="shared" si="2"/>
        <v>45.424607032668135</v>
      </c>
      <c r="T7" s="132">
        <f t="shared" ref="T7:T16" si="3">F7/M7*100</f>
        <v>52.739005483835157</v>
      </c>
      <c r="U7" s="132">
        <f t="shared" ref="U7:U16" si="4">G7/N7*100</f>
        <v>37.464565097650919</v>
      </c>
      <c r="V7" s="132">
        <f t="shared" ref="V7:W16" si="5">H7/O7*100</f>
        <v>41.84142533409976</v>
      </c>
      <c r="W7" s="132">
        <f t="shared" si="5"/>
        <v>46.928253713626653</v>
      </c>
    </row>
    <row r="8" spans="1:23" ht="23.25" customHeight="1">
      <c r="A8" s="3">
        <v>3</v>
      </c>
      <c r="B8" s="6" t="s">
        <v>14</v>
      </c>
      <c r="C8" s="132">
        <f ca="1">+'Salaries (% Plan Expenditure)'!C8</f>
        <v>3014.87</v>
      </c>
      <c r="D8" s="132">
        <f ca="1">+'Salaries (% Plan Expenditure)'!D8</f>
        <v>3314.89</v>
      </c>
      <c r="E8" s="132">
        <f ca="1">+'Salaries (% Plan Expenditure)'!E8</f>
        <v>3973.0299999999997</v>
      </c>
      <c r="F8" s="132">
        <f ca="1">+'Salaries (% Plan Expenditure)'!F8</f>
        <v>5166.3899999999994</v>
      </c>
      <c r="G8" s="132">
        <f ca="1">+'Salaries (% Plan Expenditure)'!G8</f>
        <v>5305.51</v>
      </c>
      <c r="H8" s="132">
        <f ca="1">+'Salaries (% Plan Expenditure)'!H8</f>
        <v>6129.73</v>
      </c>
      <c r="I8" s="132">
        <f ca="1">+'Salaries (% Plan Expenditure)'!I8</f>
        <v>6956.42</v>
      </c>
      <c r="J8" s="64">
        <f ca="1">+'Worksheet Pension &amp; RE'!J8-'Worksheet Pension &amp; RE'!C8-'IP as % of TRR'!C8</f>
        <v>5639.7300000000005</v>
      </c>
      <c r="K8" s="64">
        <f ca="1">+'Worksheet Pension &amp; RE'!K8-'Worksheet Pension &amp; RE'!D8-'IP as % of TRR'!D8</f>
        <v>6390.6399999999994</v>
      </c>
      <c r="L8" s="64">
        <f ca="1">+'Worksheet Pension &amp; RE'!L8-'Worksheet Pension &amp; RE'!E8-'IP as % of TRR'!E8</f>
        <v>7846.6999999999989</v>
      </c>
      <c r="M8" s="64">
        <f ca="1">+'Worksheet Pension &amp; RE'!M8-'Worksheet Pension &amp; RE'!F8-'IP as % of TRR'!F8</f>
        <v>9890.89</v>
      </c>
      <c r="N8" s="64">
        <f ca="1">+'Worksheet Pension &amp; RE'!N8-'Worksheet Pension &amp; RE'!G8-'IP as % of TRR'!G8</f>
        <v>9551.4599999999991</v>
      </c>
      <c r="O8" s="64">
        <f ca="1">+'Worksheet Pension &amp; RE'!O8-'Worksheet Pension &amp; RE'!H8-'IP as % of TRR'!H8</f>
        <v>11057.51</v>
      </c>
      <c r="P8" s="64">
        <f ca="1">+'Worksheet Pension &amp; RE'!P8-'Worksheet Pension &amp; RE'!I8-'IP as % of TRR'!I8</f>
        <v>12425.570000000002</v>
      </c>
      <c r="Q8" s="132">
        <f t="shared" si="0"/>
        <v>53.457700989231746</v>
      </c>
      <c r="R8" s="132">
        <f t="shared" si="1"/>
        <v>51.871017613259397</v>
      </c>
      <c r="S8" s="132">
        <f t="shared" si="2"/>
        <v>50.633132399607483</v>
      </c>
      <c r="T8" s="132">
        <f t="shared" si="3"/>
        <v>52.233823245430891</v>
      </c>
      <c r="U8" s="132">
        <f t="shared" si="4"/>
        <v>55.546586595138351</v>
      </c>
      <c r="V8" s="132">
        <f t="shared" si="5"/>
        <v>55.434993954335098</v>
      </c>
      <c r="W8" s="132">
        <f t="shared" si="5"/>
        <v>55.984715389314118</v>
      </c>
    </row>
    <row r="9" spans="1:23" ht="23.25" customHeight="1">
      <c r="A9" s="3">
        <v>4</v>
      </c>
      <c r="B9" s="6" t="s">
        <v>52</v>
      </c>
      <c r="C9" s="132">
        <f ca="1">+'Salaries (% Plan Expenditure)'!C9</f>
        <v>4475</v>
      </c>
      <c r="D9" s="132">
        <f ca="1">+'Salaries (% Plan Expenditure)'!D9</f>
        <v>5077.78</v>
      </c>
      <c r="E9" s="132">
        <f ca="1">+'Salaries (% Plan Expenditure)'!E9</f>
        <v>6022.81</v>
      </c>
      <c r="F9" s="132">
        <f ca="1">+'Salaries (% Plan Expenditure)'!F9</f>
        <v>7722</v>
      </c>
      <c r="G9" s="132">
        <f ca="1">+'Salaries (% Plan Expenditure)'!G9</f>
        <v>9904.25</v>
      </c>
      <c r="H9" s="132">
        <f ca="1">+'Salaries (% Plan Expenditure)'!H9</f>
        <v>10701</v>
      </c>
      <c r="I9" s="132">
        <f ca="1">+'Salaries (% Plan Expenditure)'!I9</f>
        <v>13811</v>
      </c>
      <c r="J9" s="64">
        <f ca="1">+'Worksheet Pension &amp; RE'!J9-'Worksheet Pension &amp; RE'!C9-'IP as % of TRR'!C9</f>
        <v>8561.2400000000016</v>
      </c>
      <c r="K9" s="64">
        <f ca="1">+'Worksheet Pension &amp; RE'!K9-'Worksheet Pension &amp; RE'!D9-'IP as % of TRR'!D9</f>
        <v>9200.8200000000015</v>
      </c>
      <c r="L9" s="64">
        <f ca="1">+'Worksheet Pension &amp; RE'!L9-'Worksheet Pension &amp; RE'!E9-'IP as % of TRR'!E9</f>
        <v>11617.05</v>
      </c>
      <c r="M9" s="64">
        <f ca="1">+'Worksheet Pension &amp; RE'!M9-'Worksheet Pension &amp; RE'!F9-'IP as % of TRR'!F9</f>
        <v>13940.869999999999</v>
      </c>
      <c r="N9" s="64">
        <f ca="1">+'Worksheet Pension &amp; RE'!N9-'Worksheet Pension &amp; RE'!G9-'IP as % of TRR'!G9</f>
        <v>17100.8</v>
      </c>
      <c r="O9" s="64">
        <f ca="1">+'Worksheet Pension &amp; RE'!O9-'Worksheet Pension &amp; RE'!H9-'IP as % of TRR'!H9</f>
        <v>18931.510000000002</v>
      </c>
      <c r="P9" s="64">
        <f ca="1">+'Worksheet Pension &amp; RE'!P9-'Worksheet Pension &amp; RE'!I9-'IP as % of TRR'!I9</f>
        <v>21760</v>
      </c>
      <c r="Q9" s="132">
        <f t="shared" si="0"/>
        <v>52.270465493316379</v>
      </c>
      <c r="R9" s="132">
        <f t="shared" si="1"/>
        <v>55.188341908655957</v>
      </c>
      <c r="S9" s="132">
        <f t="shared" si="2"/>
        <v>51.844573278069738</v>
      </c>
      <c r="T9" s="132">
        <f t="shared" si="3"/>
        <v>55.391091086854694</v>
      </c>
      <c r="U9" s="132">
        <f t="shared" si="4"/>
        <v>57.916881081586823</v>
      </c>
      <c r="V9" s="132">
        <f t="shared" si="5"/>
        <v>56.524809695581588</v>
      </c>
      <c r="W9" s="132">
        <f t="shared" si="5"/>
        <v>63.469669117647051</v>
      </c>
    </row>
    <row r="10" spans="1:23" ht="23.25" customHeight="1">
      <c r="A10" s="3">
        <v>5</v>
      </c>
      <c r="B10" s="6" t="s">
        <v>16</v>
      </c>
      <c r="C10" s="132">
        <f ca="1">+'Salaries (% Plan Expenditure)'!C10</f>
        <v>890.17</v>
      </c>
      <c r="D10" s="132">
        <f ca="1">+'Salaries (% Plan Expenditure)'!D10</f>
        <v>1063.32</v>
      </c>
      <c r="E10" s="132">
        <f ca="1">+'Salaries (% Plan Expenditure)'!E10</f>
        <v>1148.8900000000001</v>
      </c>
      <c r="F10" s="132">
        <f ca="1">+'Salaries (% Plan Expenditure)'!F10</f>
        <v>1673.1499999999999</v>
      </c>
      <c r="G10" s="132">
        <f ca="1">+'Salaries (% Plan Expenditure)'!G10</f>
        <v>2210.1</v>
      </c>
      <c r="H10" s="132">
        <f ca="1">+'Salaries (% Plan Expenditure)'!H10</f>
        <v>2350.12</v>
      </c>
      <c r="I10" s="132">
        <f ca="1">+'Salaries (% Plan Expenditure)'!I10</f>
        <v>2627.33</v>
      </c>
      <c r="J10" s="64">
        <f ca="1">+'Worksheet Pension &amp; RE'!J10-'Worksheet Pension &amp; RE'!C10-'IP as % of TRR'!C10</f>
        <v>1788.27</v>
      </c>
      <c r="K10" s="64">
        <f ca="1">+'Worksheet Pension &amp; RE'!K10-'Worksheet Pension &amp; RE'!D10-'IP as % of TRR'!D10</f>
        <v>2041.4</v>
      </c>
      <c r="L10" s="64">
        <f ca="1">+'Worksheet Pension &amp; RE'!L10-'Worksheet Pension &amp; RE'!E10-'IP as % of TRR'!E10</f>
        <v>2399.04</v>
      </c>
      <c r="M10" s="64">
        <f ca="1">+'Worksheet Pension &amp; RE'!M10-'Worksheet Pension &amp; RE'!F10-'IP as % of TRR'!F10</f>
        <v>3313.0600000000004</v>
      </c>
      <c r="N10" s="64">
        <f ca="1">+'Worksheet Pension &amp; RE'!N10-'Worksheet Pension &amp; RE'!G10-'IP as % of TRR'!G10</f>
        <v>3981.32</v>
      </c>
      <c r="O10" s="64">
        <f ca="1">+'Worksheet Pension &amp; RE'!O10-'Worksheet Pension &amp; RE'!H10-'IP as % of TRR'!H10</f>
        <v>4123.25</v>
      </c>
      <c r="P10" s="64">
        <f ca="1">+'Worksheet Pension &amp; RE'!P10-'Worksheet Pension &amp; RE'!I10-'IP as % of TRR'!I10</f>
        <v>5399.9800000000005</v>
      </c>
      <c r="Q10" s="132">
        <f t="shared" si="0"/>
        <v>49.778277329486038</v>
      </c>
      <c r="R10" s="132">
        <f t="shared" si="1"/>
        <v>52.087782894092285</v>
      </c>
      <c r="S10" s="132">
        <f t="shared" si="2"/>
        <v>47.889572495664936</v>
      </c>
      <c r="T10" s="132">
        <f t="shared" si="3"/>
        <v>50.50165104163522</v>
      </c>
      <c r="U10" s="132">
        <f t="shared" si="4"/>
        <v>55.511739824982662</v>
      </c>
      <c r="V10" s="132">
        <f t="shared" si="5"/>
        <v>56.996786515491415</v>
      </c>
      <c r="W10" s="132">
        <f t="shared" si="5"/>
        <v>48.654439460886891</v>
      </c>
    </row>
    <row r="11" spans="1:23" ht="23.25" customHeight="1">
      <c r="A11" s="3">
        <v>6</v>
      </c>
      <c r="B11" s="6" t="s">
        <v>17</v>
      </c>
      <c r="C11" s="132">
        <f ca="1">+'Salaries (% Plan Expenditure)'!C11</f>
        <v>940.77</v>
      </c>
      <c r="D11" s="132">
        <f ca="1">+'Salaries (% Plan Expenditure)'!D11</f>
        <v>1015.1899999999999</v>
      </c>
      <c r="E11" s="132">
        <f ca="1">+'Salaries (% Plan Expenditure)'!E11</f>
        <v>1492.6599999999999</v>
      </c>
      <c r="F11" s="132">
        <f ca="1">+'Salaries (% Plan Expenditure)'!F11</f>
        <v>1857.4699999999998</v>
      </c>
      <c r="G11" s="132">
        <f ca="1">+'Salaries (% Plan Expenditure)'!G11</f>
        <v>2179.4299999999998</v>
      </c>
      <c r="H11" s="132">
        <f ca="1">+'Salaries (% Plan Expenditure)'!H11</f>
        <v>2093.56</v>
      </c>
      <c r="I11" s="132">
        <f ca="1">+'Salaries (% Plan Expenditure)'!I11</f>
        <v>1987.2400000000002</v>
      </c>
      <c r="J11" s="64">
        <f ca="1">+'Worksheet Pension &amp; RE'!J11-'Worksheet Pension &amp; RE'!C11-'IP as % of TRR'!C11</f>
        <v>1929.9800000000002</v>
      </c>
      <c r="K11" s="64">
        <f ca="1">+'Worksheet Pension &amp; RE'!K11-'Worksheet Pension &amp; RE'!D11-'IP as % of TRR'!D11</f>
        <v>2298.9900000000002</v>
      </c>
      <c r="L11" s="64">
        <f ca="1">+'Worksheet Pension &amp; RE'!L11-'Worksheet Pension &amp; RE'!E11-'IP as % of TRR'!E11</f>
        <v>2740.53</v>
      </c>
      <c r="M11" s="64">
        <f ca="1">+'Worksheet Pension &amp; RE'!M11-'Worksheet Pension &amp; RE'!F11-'IP as % of TRR'!F11</f>
        <v>3440.5699999999997</v>
      </c>
      <c r="N11" s="64">
        <f ca="1">+'Worksheet Pension &amp; RE'!N11-'Worksheet Pension &amp; RE'!G11-'IP as % of TRR'!G11</f>
        <v>4173.3600000000006</v>
      </c>
      <c r="O11" s="64">
        <f ca="1">+'Worksheet Pension &amp; RE'!O11-'Worksheet Pension &amp; RE'!H11-'IP as % of TRR'!H11</f>
        <v>4297.46</v>
      </c>
      <c r="P11" s="64">
        <f ca="1">+'Worksheet Pension &amp; RE'!P11-'Worksheet Pension &amp; RE'!I11-'IP as % of TRR'!I11</f>
        <v>6643.9600000000009</v>
      </c>
      <c r="Q11" s="132">
        <f t="shared" si="0"/>
        <v>48.745064715696529</v>
      </c>
      <c r="R11" s="132">
        <f t="shared" si="1"/>
        <v>44.158086812034838</v>
      </c>
      <c r="S11" s="132">
        <f t="shared" si="2"/>
        <v>54.466106920924041</v>
      </c>
      <c r="T11" s="132">
        <f t="shared" si="3"/>
        <v>53.987275364256504</v>
      </c>
      <c r="U11" s="132">
        <f t="shared" si="4"/>
        <v>52.222429888626898</v>
      </c>
      <c r="V11" s="132">
        <f t="shared" si="5"/>
        <v>48.716218417390742</v>
      </c>
      <c r="W11" s="132">
        <f t="shared" si="5"/>
        <v>29.910475078116061</v>
      </c>
    </row>
    <row r="12" spans="1:23" s="23" customFormat="1" ht="23.25" customHeight="1">
      <c r="A12" s="12">
        <v>7</v>
      </c>
      <c r="B12" s="13" t="s">
        <v>18</v>
      </c>
      <c r="C12" s="132">
        <f ca="1">+'Salaries (% Plan Expenditure)'!C12</f>
        <v>597.84</v>
      </c>
      <c r="D12" s="132">
        <f ca="1">+'Salaries (% Plan Expenditure)'!D12</f>
        <v>861.61999999999989</v>
      </c>
      <c r="E12" s="132">
        <f ca="1">+'Salaries (% Plan Expenditure)'!E12</f>
        <v>998.27</v>
      </c>
      <c r="F12" s="132">
        <f ca="1">+'Salaries (% Plan Expenditure)'!F12</f>
        <v>1304.3400000000001</v>
      </c>
      <c r="G12" s="132">
        <f ca="1">+'Salaries (% Plan Expenditure)'!G12</f>
        <v>1411.3799999999999</v>
      </c>
      <c r="H12" s="132">
        <f ca="1">+'Salaries (% Plan Expenditure)'!H12</f>
        <v>1651.21</v>
      </c>
      <c r="I12" s="132">
        <f ca="1">+'Salaries (% Plan Expenditure)'!I12</f>
        <v>1959.39</v>
      </c>
      <c r="J12" s="64">
        <f ca="1">+'Worksheet Pension &amp; RE'!J12-'Worksheet Pension &amp; RE'!C12-'IP as % of TRR'!C12</f>
        <v>1483.75</v>
      </c>
      <c r="K12" s="64">
        <f ca="1">+'Worksheet Pension &amp; RE'!K12-'Worksheet Pension &amp; RE'!D12-'IP as % of TRR'!D12</f>
        <v>1805.4700000000003</v>
      </c>
      <c r="L12" s="64">
        <f ca="1">+'Worksheet Pension &amp; RE'!L12-'Worksheet Pension &amp; RE'!E12-'IP as % of TRR'!E12</f>
        <v>2121.2199999999998</v>
      </c>
      <c r="M12" s="64">
        <f ca="1">+'Worksheet Pension &amp; RE'!M12-'Worksheet Pension &amp; RE'!F12-'IP as % of TRR'!F12</f>
        <v>2701.36</v>
      </c>
      <c r="N12" s="64">
        <f ca="1">+'Worksheet Pension &amp; RE'!N12-'Worksheet Pension &amp; RE'!G12-'IP as % of TRR'!G12</f>
        <v>3123.81</v>
      </c>
      <c r="O12" s="64">
        <f ca="1">+'Worksheet Pension &amp; RE'!O12-'Worksheet Pension &amp; RE'!H12-'IP as % of TRR'!H12</f>
        <v>3850.2399999999993</v>
      </c>
      <c r="P12" s="64">
        <f ca="1">+'Worksheet Pension &amp; RE'!P12-'Worksheet Pension &amp; RE'!I12-'IP as % of TRR'!I12</f>
        <v>4362.6099999999997</v>
      </c>
      <c r="Q12" s="132">
        <f t="shared" si="0"/>
        <v>40.292502106149961</v>
      </c>
      <c r="R12" s="132">
        <f t="shared" si="1"/>
        <v>47.722753632018247</v>
      </c>
      <c r="S12" s="132">
        <f t="shared" si="2"/>
        <v>47.061125201534971</v>
      </c>
      <c r="T12" s="132">
        <f t="shared" si="3"/>
        <v>48.284567773269764</v>
      </c>
      <c r="U12" s="132">
        <f t="shared" si="4"/>
        <v>45.181365063816301</v>
      </c>
      <c r="V12" s="132">
        <f t="shared" si="5"/>
        <v>42.8858980219415</v>
      </c>
      <c r="W12" s="132">
        <f t="shared" si="5"/>
        <v>44.913251471023088</v>
      </c>
    </row>
    <row r="13" spans="1:23" s="23" customFormat="1" ht="23.25" customHeight="1">
      <c r="A13" s="12">
        <v>8</v>
      </c>
      <c r="B13" s="13" t="s">
        <v>19</v>
      </c>
      <c r="C13" s="132">
        <f ca="1">+'Salaries (% Plan Expenditure)'!C13</f>
        <v>1123.47</v>
      </c>
      <c r="D13" s="132">
        <f ca="1">+'Salaries (% Plan Expenditure)'!D13</f>
        <v>1254.32</v>
      </c>
      <c r="E13" s="132">
        <f ca="1">+'Salaries (% Plan Expenditure)'!E13</f>
        <v>1493.87</v>
      </c>
      <c r="F13" s="132">
        <f ca="1">+'Salaries (% Plan Expenditure)'!F13</f>
        <v>2036.36</v>
      </c>
      <c r="G13" s="132">
        <f ca="1">+'Salaries (% Plan Expenditure)'!G13</f>
        <v>2339.19</v>
      </c>
      <c r="H13" s="132">
        <f ca="1">+'Salaries (% Plan Expenditure)'!H13</f>
        <v>2590.7399999999998</v>
      </c>
      <c r="I13" s="132">
        <f ca="1">+'Salaries (% Plan Expenditure)'!I13</f>
        <v>2821.72</v>
      </c>
      <c r="J13" s="64">
        <f ca="1">+'Worksheet Pension &amp; RE'!J13-'Worksheet Pension &amp; RE'!C13-'IP as % of TRR'!C13</f>
        <v>2042.08</v>
      </c>
      <c r="K13" s="64">
        <f ca="1">+'Worksheet Pension &amp; RE'!K13-'Worksheet Pension &amp; RE'!D13-'IP as % of TRR'!D13</f>
        <v>2346.59</v>
      </c>
      <c r="L13" s="64">
        <f ca="1">+'Worksheet Pension &amp; RE'!L13-'Worksheet Pension &amp; RE'!E13-'IP as % of TRR'!E13</f>
        <v>2610.87</v>
      </c>
      <c r="M13" s="64">
        <f ca="1">+'Worksheet Pension &amp; RE'!M13-'Worksheet Pension &amp; RE'!F13-'IP as % of TRR'!F13</f>
        <v>3457.54</v>
      </c>
      <c r="N13" s="64">
        <f ca="1">+'Worksheet Pension &amp; RE'!N13-'Worksheet Pension &amp; RE'!G13-'IP as % of TRR'!G13</f>
        <v>3871.5899999999997</v>
      </c>
      <c r="O13" s="64">
        <f ca="1">+'Worksheet Pension &amp; RE'!O13-'Worksheet Pension &amp; RE'!H13-'IP as % of TRR'!H13</f>
        <v>4584.91</v>
      </c>
      <c r="P13" s="64">
        <f ca="1">+'Worksheet Pension &amp; RE'!P13-'Worksheet Pension &amp; RE'!I13-'IP as % of TRR'!I13</f>
        <v>5294.5</v>
      </c>
      <c r="Q13" s="132">
        <f t="shared" si="0"/>
        <v>55.015964115019976</v>
      </c>
      <c r="R13" s="132">
        <f t="shared" si="1"/>
        <v>53.452882693610725</v>
      </c>
      <c r="S13" s="132">
        <f t="shared" si="2"/>
        <v>57.217326025424477</v>
      </c>
      <c r="T13" s="132">
        <f t="shared" si="3"/>
        <v>58.896209443708528</v>
      </c>
      <c r="U13" s="132">
        <f t="shared" si="4"/>
        <v>60.419362587464079</v>
      </c>
      <c r="V13" s="132">
        <f t="shared" si="5"/>
        <v>56.505798368997432</v>
      </c>
      <c r="W13" s="132">
        <f t="shared" si="5"/>
        <v>53.295306450089711</v>
      </c>
    </row>
    <row r="14" spans="1:23" ht="23.25" customHeight="1">
      <c r="A14" s="3">
        <v>9</v>
      </c>
      <c r="B14" s="6" t="s">
        <v>20</v>
      </c>
      <c r="C14" s="132">
        <f ca="1">+'Salaries (% Plan Expenditure)'!C14</f>
        <v>492.90999999999997</v>
      </c>
      <c r="D14" s="132">
        <f ca="1">+'Salaries (% Plan Expenditure)'!D14</f>
        <v>576.44000000000005</v>
      </c>
      <c r="E14" s="132">
        <f ca="1">+'Salaries (% Plan Expenditure)'!E14</f>
        <v>968.76</v>
      </c>
      <c r="F14" s="132">
        <f ca="1">+'Salaries (% Plan Expenditure)'!F14</f>
        <v>1095.79</v>
      </c>
      <c r="G14" s="132">
        <f ca="1">+'Salaries (% Plan Expenditure)'!G14</f>
        <v>874.83999999999992</v>
      </c>
      <c r="H14" s="132">
        <f ca="1">+'Salaries (% Plan Expenditure)'!H14</f>
        <v>971.01</v>
      </c>
      <c r="I14" s="132">
        <f ca="1">+'Salaries (% Plan Expenditure)'!I14</f>
        <v>1097.3</v>
      </c>
      <c r="J14" s="64">
        <f ca="1">+'Worksheet Pension &amp; RE'!J14-'Worksheet Pension &amp; RE'!C14-'IP as % of TRR'!C14</f>
        <v>978.93999999999983</v>
      </c>
      <c r="K14" s="64">
        <f ca="1">+'Worksheet Pension &amp; RE'!K14-'Worksheet Pension &amp; RE'!D14-'IP as % of TRR'!D14</f>
        <v>1178.46</v>
      </c>
      <c r="L14" s="64">
        <f ca="1">+'Worksheet Pension &amp; RE'!L14-'Worksheet Pension &amp; RE'!E14-'IP as % of TRR'!E14</f>
        <v>1548.84</v>
      </c>
      <c r="M14" s="64">
        <f ca="1">+'Worksheet Pension &amp; RE'!M14-'Worksheet Pension &amp; RE'!F14-'IP as % of TRR'!F14</f>
        <v>1665</v>
      </c>
      <c r="N14" s="64">
        <f ca="1">+'Worksheet Pension &amp; RE'!N14-'Worksheet Pension &amp; RE'!G14-'IP as % of TRR'!G14</f>
        <v>2065.0200000000004</v>
      </c>
      <c r="O14" s="64">
        <f ca="1">+'Worksheet Pension &amp; RE'!O14-'Worksheet Pension &amp; RE'!H14-'IP as % of TRR'!H14</f>
        <v>2083.2999999999997</v>
      </c>
      <c r="P14" s="64">
        <f ca="1">+'Worksheet Pension &amp; RE'!P14-'Worksheet Pension &amp; RE'!I14-'IP as % of TRR'!I14</f>
        <v>2757.21</v>
      </c>
      <c r="Q14" s="132">
        <f t="shared" si="0"/>
        <v>50.351400494412324</v>
      </c>
      <c r="R14" s="132">
        <f t="shared" si="1"/>
        <v>48.914685267213152</v>
      </c>
      <c r="S14" s="132">
        <f t="shared" si="2"/>
        <v>62.547454869450689</v>
      </c>
      <c r="T14" s="132">
        <f t="shared" si="3"/>
        <v>65.813213213213203</v>
      </c>
      <c r="U14" s="132">
        <f t="shared" si="4"/>
        <v>42.364722859827012</v>
      </c>
      <c r="V14" s="132">
        <f t="shared" si="5"/>
        <v>46.609225747611966</v>
      </c>
      <c r="W14" s="132">
        <f t="shared" si="5"/>
        <v>39.797476434511694</v>
      </c>
    </row>
    <row r="15" spans="1:23" ht="23.25" customHeight="1">
      <c r="A15" s="3">
        <v>10</v>
      </c>
      <c r="B15" s="6" t="s">
        <v>21</v>
      </c>
      <c r="C15" s="132">
        <f ca="1">+'Salaries (% Plan Expenditure)'!C15</f>
        <v>1299.6500000000001</v>
      </c>
      <c r="D15" s="132">
        <f ca="1">+'Salaries (% Plan Expenditure)'!D15</f>
        <v>1374.5900000000001</v>
      </c>
      <c r="E15" s="132">
        <f ca="1">+'Salaries (% Plan Expenditure)'!E15</f>
        <v>2006.71</v>
      </c>
      <c r="F15" s="132">
        <f ca="1">+'Salaries (% Plan Expenditure)'!F15</f>
        <v>2106.2199999999998</v>
      </c>
      <c r="G15" s="132">
        <f ca="1">+'Salaries (% Plan Expenditure)'!G15</f>
        <v>2156.09</v>
      </c>
      <c r="H15" s="132">
        <f ca="1">+'Salaries (% Plan Expenditure)'!H15</f>
        <v>2343.3000000000002</v>
      </c>
      <c r="I15" s="132">
        <f ca="1">+'Salaries (% Plan Expenditure)'!I15</f>
        <v>3073.66</v>
      </c>
      <c r="J15" s="64">
        <f ca="1">+'Worksheet Pension &amp; RE'!J15-'Worksheet Pension &amp; RE'!C15-'IP as % of TRR'!C15</f>
        <v>2082.5699999999997</v>
      </c>
      <c r="K15" s="64">
        <f ca="1">+'Worksheet Pension &amp; RE'!K15-'Worksheet Pension &amp; RE'!D15-'IP as % of TRR'!D15</f>
        <v>2378.73</v>
      </c>
      <c r="L15" s="64">
        <f ca="1">+'Worksheet Pension &amp; RE'!L15-'Worksheet Pension &amp; RE'!E15-'IP as % of TRR'!E15</f>
        <v>3245.3900000000003</v>
      </c>
      <c r="M15" s="64">
        <f ca="1">+'Worksheet Pension &amp; RE'!M15-'Worksheet Pension &amp; RE'!F15-'IP as % of TRR'!F15</f>
        <v>3257.3899999999994</v>
      </c>
      <c r="N15" s="64">
        <f ca="1">+'Worksheet Pension &amp; RE'!N15-'Worksheet Pension &amp; RE'!G15-'IP as % of TRR'!G15</f>
        <v>3585.9399999999996</v>
      </c>
      <c r="O15" s="64">
        <f ca="1">+'Worksheet Pension &amp; RE'!O15-'Worksheet Pension &amp; RE'!H15-'IP as % of TRR'!H15</f>
        <v>3985.8800000000006</v>
      </c>
      <c r="P15" s="64">
        <f ca="1">+'Worksheet Pension &amp; RE'!P15-'Worksheet Pension &amp; RE'!I15-'IP as % of TRR'!I15</f>
        <v>5445.39</v>
      </c>
      <c r="Q15" s="132">
        <f t="shared" si="0"/>
        <v>62.406065582429413</v>
      </c>
      <c r="R15" s="132">
        <f t="shared" si="1"/>
        <v>57.786718122695731</v>
      </c>
      <c r="S15" s="132">
        <f t="shared" si="2"/>
        <v>61.832630284803983</v>
      </c>
      <c r="T15" s="132">
        <f t="shared" si="3"/>
        <v>64.65974292301506</v>
      </c>
      <c r="U15" s="132">
        <f t="shared" si="4"/>
        <v>60.126215162551532</v>
      </c>
      <c r="V15" s="132">
        <f t="shared" si="5"/>
        <v>58.790028801669891</v>
      </c>
      <c r="W15" s="132">
        <f t="shared" si="5"/>
        <v>56.44517656219297</v>
      </c>
    </row>
    <row r="16" spans="1:23" ht="23.25" customHeight="1">
      <c r="A16" s="3">
        <v>11</v>
      </c>
      <c r="B16" s="6" t="s">
        <v>22</v>
      </c>
      <c r="C16" s="132">
        <f ca="1">+'Salaries (% Plan Expenditure)'!C16</f>
        <v>2302.2800000000002</v>
      </c>
      <c r="D16" s="132">
        <f ca="1">+'Salaries (% Plan Expenditure)'!D16</f>
        <v>3349.91</v>
      </c>
      <c r="E16" s="132">
        <f ca="1">+'Salaries (% Plan Expenditure)'!E16</f>
        <v>4811.21</v>
      </c>
      <c r="F16" s="132">
        <f ca="1">+'Salaries (% Plan Expenditure)'!F16</f>
        <v>4966.1400000000003</v>
      </c>
      <c r="G16" s="132">
        <f ca="1">+'Salaries (% Plan Expenditure)'!G16</f>
        <v>5511.88</v>
      </c>
      <c r="H16" s="132">
        <f ca="1">+'Salaries (% Plan Expenditure)'!H16</f>
        <v>6046.37</v>
      </c>
      <c r="I16" s="132">
        <f ca="1">+'Salaries (% Plan Expenditure)'!I16</f>
        <v>7404.18</v>
      </c>
      <c r="J16" s="64">
        <f ca="1">+'Worksheet Pension &amp; RE'!J16-'Worksheet Pension &amp; RE'!C16-'IP as % of TRR'!C16</f>
        <v>5535.76</v>
      </c>
      <c r="K16" s="64">
        <f ca="1">+'Worksheet Pension &amp; RE'!K16-'Worksheet Pension &amp; RE'!D16-'IP as % of TRR'!D16</f>
        <v>6379.6</v>
      </c>
      <c r="L16" s="64">
        <f ca="1">+'Worksheet Pension &amp; RE'!L16-'Worksheet Pension &amp; RE'!E16-'IP as % of TRR'!E16</f>
        <v>8272.2100000000009</v>
      </c>
      <c r="M16" s="64">
        <f ca="1">+'Worksheet Pension &amp; RE'!M16-'Worksheet Pension &amp; RE'!F16-'IP as % of TRR'!F16</f>
        <v>8999.7800000000007</v>
      </c>
      <c r="N16" s="64">
        <f ca="1">+'Worksheet Pension &amp; RE'!N16-'Worksheet Pension &amp; RE'!G16-'IP as % of TRR'!G16</f>
        <v>10070.880000000001</v>
      </c>
      <c r="O16" s="64">
        <f ca="1">+'Worksheet Pension &amp; RE'!O16-'Worksheet Pension &amp; RE'!H16-'IP as % of TRR'!H16</f>
        <v>10505.8</v>
      </c>
      <c r="P16" s="64">
        <f ca="1">+'Worksheet Pension &amp; RE'!P16-'Worksheet Pension &amp; RE'!I16-'IP as % of TRR'!I16</f>
        <v>13523.800000000001</v>
      </c>
      <c r="Q16" s="132">
        <f t="shared" si="0"/>
        <v>41.5892307469977</v>
      </c>
      <c r="R16" s="132">
        <f t="shared" si="1"/>
        <v>52.509718477647496</v>
      </c>
      <c r="S16" s="132">
        <f t="shared" si="2"/>
        <v>58.161120184328006</v>
      </c>
      <c r="T16" s="132">
        <f t="shared" si="3"/>
        <v>55.180682194453645</v>
      </c>
      <c r="U16" s="132">
        <f t="shared" si="4"/>
        <v>54.730867610377643</v>
      </c>
      <c r="V16" s="132">
        <f t="shared" si="5"/>
        <v>57.55268518342249</v>
      </c>
      <c r="W16" s="132">
        <f t="shared" si="5"/>
        <v>54.749256865673843</v>
      </c>
    </row>
    <row r="17" spans="1:23" s="67" customFormat="1" ht="23.25" customHeight="1">
      <c r="A17" s="4"/>
      <c r="B17" s="4" t="s">
        <v>62</v>
      </c>
      <c r="C17" s="133">
        <f t="shared" ref="C17:O17" si="6">SUM(C6:C16)</f>
        <v>21319.72</v>
      </c>
      <c r="D17" s="133">
        <f t="shared" si="6"/>
        <v>24146.019999999997</v>
      </c>
      <c r="E17" s="133">
        <f t="shared" si="6"/>
        <v>30844.999999999996</v>
      </c>
      <c r="F17" s="133">
        <f t="shared" si="6"/>
        <v>40913.950000000004</v>
      </c>
      <c r="G17" s="133">
        <f t="shared" si="6"/>
        <v>43166.229999999989</v>
      </c>
      <c r="H17" s="133">
        <f t="shared" si="6"/>
        <v>48624.72</v>
      </c>
      <c r="I17" s="133">
        <f ca="1">SUM(I6:I16)</f>
        <v>56798.500000000007</v>
      </c>
      <c r="J17" s="65">
        <f t="shared" si="6"/>
        <v>42094.05</v>
      </c>
      <c r="K17" s="65">
        <f t="shared" si="6"/>
        <v>47920.409999999996</v>
      </c>
      <c r="L17" s="65">
        <f t="shared" si="6"/>
        <v>59921.9</v>
      </c>
      <c r="M17" s="65">
        <f t="shared" si="6"/>
        <v>75765.829999999987</v>
      </c>
      <c r="N17" s="65">
        <f t="shared" si="6"/>
        <v>86185.970000000016</v>
      </c>
      <c r="O17" s="65">
        <f t="shared" si="6"/>
        <v>96259.750000000029</v>
      </c>
      <c r="P17" s="65">
        <f ca="1">SUM(P6:P16)</f>
        <v>108933.92000000001</v>
      </c>
      <c r="Q17" s="133">
        <f t="shared" si="0"/>
        <v>50.647823148402203</v>
      </c>
      <c r="R17" s="133">
        <f t="shared" si="1"/>
        <v>50.387757533794051</v>
      </c>
      <c r="S17" s="133">
        <f t="shared" si="2"/>
        <v>51.475337063744632</v>
      </c>
      <c r="T17" s="133">
        <f>F17/M17*100</f>
        <v>54.000530318218665</v>
      </c>
      <c r="U17" s="133">
        <f>G17/N17*100</f>
        <v>50.084984829897458</v>
      </c>
      <c r="V17" s="133">
        <f>H17/O17*100</f>
        <v>50.514072600437864</v>
      </c>
      <c r="W17" s="133">
        <f>I17/P17*100</f>
        <v>52.140325070464733</v>
      </c>
    </row>
    <row r="18" spans="1:23" s="67" customFormat="1" ht="23.25" customHeight="1">
      <c r="A18" s="4"/>
      <c r="B18" s="4" t="s">
        <v>189</v>
      </c>
      <c r="C18" s="132"/>
      <c r="D18" s="132"/>
      <c r="E18" s="132"/>
      <c r="F18" s="132"/>
      <c r="G18" s="132"/>
      <c r="H18" s="132"/>
      <c r="I18" s="132"/>
      <c r="J18" s="64"/>
      <c r="K18" s="64"/>
      <c r="L18" s="64"/>
      <c r="M18" s="64"/>
      <c r="N18" s="64"/>
      <c r="O18" s="64"/>
      <c r="P18" s="64"/>
      <c r="Q18" s="132"/>
      <c r="R18" s="132"/>
      <c r="S18" s="124"/>
      <c r="T18" s="124"/>
      <c r="U18" s="124"/>
      <c r="V18" s="124"/>
      <c r="W18" s="124"/>
    </row>
    <row r="19" spans="1:23" ht="23.25" customHeight="1">
      <c r="A19" s="3">
        <v>12</v>
      </c>
      <c r="B19" s="6" t="s">
        <v>25</v>
      </c>
      <c r="C19" s="132">
        <f ca="1">+'Salaries (% Plan Expenditure)'!C19</f>
        <v>13001.21</v>
      </c>
      <c r="D19" s="132">
        <f ca="1">+'Salaries (% Plan Expenditure)'!D19</f>
        <v>14277.28</v>
      </c>
      <c r="E19" s="132">
        <f ca="1">+'Salaries (% Plan Expenditure)'!E19</f>
        <v>17407.419999999998</v>
      </c>
      <c r="F19" s="132">
        <f ca="1">+'Salaries (% Plan Expenditure)'!F19</f>
        <v>23439.870000000003</v>
      </c>
      <c r="G19" s="132">
        <f ca="1">+'Salaries (% Plan Expenditure)'!G19</f>
        <v>26396.199999999997</v>
      </c>
      <c r="H19" s="132">
        <f ca="1">+'Salaries (% Plan Expenditure)'!H19</f>
        <v>25771.46</v>
      </c>
      <c r="I19" s="132">
        <f ca="1">+'Salaries (% Plan Expenditure)'!I19</f>
        <v>32116.719999999998</v>
      </c>
      <c r="J19" s="64">
        <f ca="1">+'Worksheet Pension &amp; RE'!J19-'Worksheet Pension &amp; RE'!C19-'IP as % of TRR'!C19</f>
        <v>41602.71</v>
      </c>
      <c r="K19" s="64">
        <f ca="1">+'Worksheet Pension &amp; RE'!K19-'Worksheet Pension &amp; RE'!D19-'IP as % of TRR'!D19</f>
        <v>48278.64</v>
      </c>
      <c r="L19" s="64">
        <f ca="1">+'Worksheet Pension &amp; RE'!L19-'Worksheet Pension &amp; RE'!E19-'IP as % of TRR'!E19</f>
        <v>48195.320000000007</v>
      </c>
      <c r="M19" s="64">
        <f ca="1">+'Worksheet Pension &amp; RE'!M19-'Worksheet Pension &amp; RE'!F19-'IP as % of TRR'!F19</f>
        <v>59249.89</v>
      </c>
      <c r="N19" s="64">
        <f ca="1">+'Worksheet Pension &amp; RE'!N19-'Worksheet Pension &amp; RE'!G19-'IP as % of TRR'!G19</f>
        <v>68744.739999999991</v>
      </c>
      <c r="O19" s="64">
        <f ca="1">+'Worksheet Pension &amp; RE'!O19-'Worksheet Pension &amp; RE'!H19-'IP as % of TRR'!H19</f>
        <v>78951.239999999991</v>
      </c>
      <c r="P19" s="64">
        <f ca="1">+'Worksheet Pension &amp; RE'!P19-'Worksheet Pension &amp; RE'!I19-'IP as % of TRR'!I19</f>
        <v>98021.23000000001</v>
      </c>
      <c r="Q19" s="132">
        <f t="shared" ref="Q19:Q36" si="7">C19/J19*100</f>
        <v>31.250872839774139</v>
      </c>
      <c r="R19" s="132">
        <f t="shared" ref="R19:R36" si="8">D19/K19*100</f>
        <v>29.572664018704753</v>
      </c>
      <c r="S19" s="132">
        <f t="shared" ref="S19:S36" si="9">E19/L19*100</f>
        <v>36.118486193265234</v>
      </c>
      <c r="T19" s="132">
        <f>F19/M19*100</f>
        <v>39.561035471964594</v>
      </c>
      <c r="U19" s="132">
        <f>G19/N19*100</f>
        <v>38.397410478241682</v>
      </c>
      <c r="V19" s="132">
        <f>H19/O19*100</f>
        <v>32.642248557464079</v>
      </c>
      <c r="W19" s="132">
        <f>I19/P19*100</f>
        <v>32.765065282286294</v>
      </c>
    </row>
    <row r="20" spans="1:23" ht="23.25" customHeight="1">
      <c r="A20" s="3">
        <v>13</v>
      </c>
      <c r="B20" s="6" t="s">
        <v>26</v>
      </c>
      <c r="C20" s="132">
        <f ca="1">+'Salaries (% Plan Expenditure)'!C20</f>
        <v>6484.76</v>
      </c>
      <c r="D20" s="132">
        <f ca="1">+'Salaries (% Plan Expenditure)'!D20</f>
        <v>7658.49</v>
      </c>
      <c r="E20" s="132">
        <f ca="1">+'Salaries (% Plan Expenditure)'!E20</f>
        <v>9572.69</v>
      </c>
      <c r="F20" s="132">
        <f ca="1">+'Salaries (% Plan Expenditure)'!F20</f>
        <v>10549.85</v>
      </c>
      <c r="G20" s="132">
        <f ca="1">+'Salaries (% Plan Expenditure)'!G20</f>
        <v>12193.7</v>
      </c>
      <c r="H20" s="132">
        <f ca="1">+'Salaries (% Plan Expenditure)'!H20</f>
        <v>13557.88</v>
      </c>
      <c r="I20" s="132">
        <f ca="1">+'Salaries (% Plan Expenditure)'!I20</f>
        <v>17676.179999999997</v>
      </c>
      <c r="J20" s="64">
        <f ca="1">+'Worksheet Pension &amp; RE'!J20-'Worksheet Pension &amp; RE'!C20-'IP as % of TRR'!C20</f>
        <v>17066.940000000002</v>
      </c>
      <c r="K20" s="64">
        <f ca="1">+'Worksheet Pension &amp; RE'!K20-'Worksheet Pension &amp; RE'!D20-'IP as % of TRR'!D20</f>
        <v>21279.600000000002</v>
      </c>
      <c r="L20" s="64">
        <f ca="1">+'Worksheet Pension &amp; RE'!L20-'Worksheet Pension &amp; RE'!E20-'IP as % of TRR'!E20</f>
        <v>24580</v>
      </c>
      <c r="M20" s="64">
        <f ca="1">+'Worksheet Pension &amp; RE'!M20-'Worksheet Pension &amp; RE'!F20-'IP as % of TRR'!F20</f>
        <v>27752.890000000003</v>
      </c>
      <c r="N20" s="64">
        <f ca="1">+'Worksheet Pension &amp; RE'!N20-'Worksheet Pension &amp; RE'!G20-'IP as % of TRR'!G20</f>
        <v>34387.39</v>
      </c>
      <c r="O20" s="64">
        <f ca="1">+'Worksheet Pension &amp; RE'!O20-'Worksheet Pension &amp; RE'!H20-'IP as % of TRR'!H20</f>
        <v>41675.090000000004</v>
      </c>
      <c r="P20" s="64">
        <f ca="1">+'Worksheet Pension &amp; RE'!P20-'Worksheet Pension &amp; RE'!I20-'IP as % of TRR'!I20</f>
        <v>56095.609999999993</v>
      </c>
      <c r="Q20" s="132">
        <f t="shared" si="7"/>
        <v>37.99603209479848</v>
      </c>
      <c r="R20" s="132">
        <f t="shared" si="8"/>
        <v>35.989821237241301</v>
      </c>
      <c r="S20" s="132">
        <f t="shared" si="9"/>
        <v>38.945036615134256</v>
      </c>
      <c r="T20" s="132">
        <f t="shared" ref="T20:T35" si="10">F20/M20*100</f>
        <v>38.013518592117791</v>
      </c>
      <c r="U20" s="132">
        <f t="shared" ref="U20:U35" si="11">G20/N20*100</f>
        <v>35.459800816520243</v>
      </c>
      <c r="V20" s="132">
        <f t="shared" ref="V20:W35" si="12">H20/O20*100</f>
        <v>32.532335263103207</v>
      </c>
      <c r="W20" s="132">
        <f t="shared" si="12"/>
        <v>31.510808065016139</v>
      </c>
    </row>
    <row r="21" spans="1:23" ht="23.25" customHeight="1">
      <c r="A21" s="3">
        <v>14</v>
      </c>
      <c r="B21" s="6" t="s">
        <v>27</v>
      </c>
      <c r="C21" s="132">
        <f ca="1">+'Salaries (% Plan Expenditure)'!C21</f>
        <v>2793.91</v>
      </c>
      <c r="D21" s="132">
        <f ca="1">+'Salaries (% Plan Expenditure)'!D21</f>
        <v>3530.33</v>
      </c>
      <c r="E21" s="132">
        <f ca="1">+'Salaries (% Plan Expenditure)'!E21</f>
        <v>4830.38</v>
      </c>
      <c r="F21" s="132">
        <f ca="1">+'Salaries (% Plan Expenditure)'!F21</f>
        <v>5946.7699999999995</v>
      </c>
      <c r="G21" s="132">
        <f ca="1">+'Salaries (% Plan Expenditure)'!G21</f>
        <v>6935.3</v>
      </c>
      <c r="H21" s="132">
        <f ca="1">+'Salaries (% Plan Expenditure)'!H21</f>
        <v>7177.7000000000007</v>
      </c>
      <c r="I21" s="132">
        <f ca="1">+'Salaries (% Plan Expenditure)'!I21</f>
        <v>8386.51</v>
      </c>
      <c r="J21" s="64">
        <f ca="1">+'Worksheet Pension &amp; RE'!J21-'Worksheet Pension &amp; RE'!C21-'IP as % of TRR'!C21</f>
        <v>9015.17</v>
      </c>
      <c r="K21" s="64">
        <f ca="1">+'Worksheet Pension &amp; RE'!K21-'Worksheet Pension &amp; RE'!D21-'IP as % of TRR'!D21</f>
        <v>11785.4</v>
      </c>
      <c r="L21" s="64">
        <f ca="1">+'Worksheet Pension &amp; RE'!L21-'Worksheet Pension &amp; RE'!E21-'IP as % of TRR'!E21</f>
        <v>14936.819999999998</v>
      </c>
      <c r="M21" s="64">
        <f ca="1">+'Worksheet Pension &amp; RE'!M21-'Worksheet Pension &amp; RE'!F21-'IP as % of TRR'!F21</f>
        <v>16347.060000000001</v>
      </c>
      <c r="N21" s="64">
        <f ca="1">+'Worksheet Pension &amp; RE'!N21-'Worksheet Pension &amp; RE'!G21-'IP as % of TRR'!G21</f>
        <v>19556.98</v>
      </c>
      <c r="O21" s="64">
        <f ca="1">+'Worksheet Pension &amp; RE'!O21-'Worksheet Pension &amp; RE'!H21-'IP as % of TRR'!H21</f>
        <v>23404.22</v>
      </c>
      <c r="P21" s="64">
        <f ca="1">+'Worksheet Pension &amp; RE'!P21-'Worksheet Pension &amp; RE'!I21-'IP as % of TRR'!I21</f>
        <v>31264.719999999998</v>
      </c>
      <c r="Q21" s="132">
        <f t="shared" si="7"/>
        <v>30.991207043239339</v>
      </c>
      <c r="R21" s="132">
        <f t="shared" si="8"/>
        <v>29.955113954553941</v>
      </c>
      <c r="S21" s="132">
        <f t="shared" si="9"/>
        <v>32.338744123581861</v>
      </c>
      <c r="T21" s="132">
        <f t="shared" si="10"/>
        <v>36.378223362488413</v>
      </c>
      <c r="U21" s="132">
        <f t="shared" si="11"/>
        <v>35.462019187011492</v>
      </c>
      <c r="V21" s="132">
        <f t="shared" si="12"/>
        <v>30.668400826859433</v>
      </c>
      <c r="W21" s="132">
        <f t="shared" si="12"/>
        <v>26.82419673037213</v>
      </c>
    </row>
    <row r="22" spans="1:23" ht="23.25" customHeight="1">
      <c r="A22" s="3">
        <v>15</v>
      </c>
      <c r="B22" s="6" t="s">
        <v>28</v>
      </c>
      <c r="C22" s="132">
        <f ca="1">+'Salaries (% Plan Expenditure)'!C22</f>
        <v>465.56</v>
      </c>
      <c r="D22" s="132">
        <f ca="1">+'Salaries (% Plan Expenditure)'!D22</f>
        <v>668.28</v>
      </c>
      <c r="E22" s="132">
        <f ca="1">+'Salaries (% Plan Expenditure)'!E22</f>
        <v>900.47</v>
      </c>
      <c r="F22" s="132">
        <f ca="1">+'Salaries (% Plan Expenditure)'!F22</f>
        <v>1000</v>
      </c>
      <c r="G22" s="132">
        <f ca="1">+'Salaries (% Plan Expenditure)'!G22</f>
        <v>1141.33</v>
      </c>
      <c r="H22" s="132">
        <f ca="1">+'Salaries (% Plan Expenditure)'!H22</f>
        <v>1301.1199999999999</v>
      </c>
      <c r="I22" s="132" t="str">
        <f ca="1">+'Salaries (% Plan Expenditure)'!I22</f>
        <v>NA</v>
      </c>
      <c r="J22" s="64">
        <f ca="1">+'Worksheet Pension &amp; RE'!J22-'Worksheet Pension &amp; RE'!C22-'IP as % of TRR'!C22</f>
        <v>1546.31</v>
      </c>
      <c r="K22" s="64">
        <f ca="1">+'Worksheet Pension &amp; RE'!K22-'Worksheet Pension &amp; RE'!D22-'IP as % of TRR'!D22</f>
        <v>1981.27</v>
      </c>
      <c r="L22" s="64">
        <f ca="1">+'Worksheet Pension &amp; RE'!L22-'Worksheet Pension &amp; RE'!E22-'IP as % of TRR'!E22</f>
        <v>2498.33</v>
      </c>
      <c r="M22" s="64">
        <f ca="1">+'Worksheet Pension &amp; RE'!M22-'Worksheet Pension &amp; RE'!F22-'IP as % of TRR'!F22</f>
        <v>3220.0000000000005</v>
      </c>
      <c r="N22" s="64">
        <f ca="1">+'Worksheet Pension &amp; RE'!N22-'Worksheet Pension &amp; RE'!G22-'IP as % of TRR'!G22</f>
        <v>4034.6100000000006</v>
      </c>
      <c r="O22" s="64">
        <f ca="1">+'Worksheet Pension &amp; RE'!O22-'Worksheet Pension &amp; RE'!H22-'IP as % of TRR'!H22</f>
        <v>4211.4799999999996</v>
      </c>
      <c r="P22" s="64">
        <f ca="1">+'Worksheet Pension &amp; RE'!P22-'Worksheet Pension &amp; RE'!I22-'IP as % of TRR'!I22</f>
        <v>6180.43</v>
      </c>
      <c r="Q22" s="132">
        <f t="shared" si="7"/>
        <v>30.107805032626061</v>
      </c>
      <c r="R22" s="132">
        <f t="shared" si="8"/>
        <v>33.729880329283738</v>
      </c>
      <c r="S22" s="132">
        <f t="shared" si="9"/>
        <v>36.042876641596585</v>
      </c>
      <c r="T22" s="132">
        <f t="shared" si="10"/>
        <v>31.05590062111801</v>
      </c>
      <c r="U22" s="132">
        <f t="shared" si="11"/>
        <v>28.288483893114819</v>
      </c>
      <c r="V22" s="132">
        <f t="shared" si="12"/>
        <v>30.894602372562613</v>
      </c>
      <c r="W22" s="132" t="s">
        <v>182</v>
      </c>
    </row>
    <row r="23" spans="1:23" ht="23.25" customHeight="1">
      <c r="A23" s="3">
        <v>16</v>
      </c>
      <c r="B23" s="6" t="s">
        <v>29</v>
      </c>
      <c r="C23" s="132">
        <f ca="1">+'Salaries (% Plan Expenditure)'!C23</f>
        <v>7353.21</v>
      </c>
      <c r="D23" s="132">
        <f ca="1">+'Salaries (% Plan Expenditure)'!D23</f>
        <v>7353.21</v>
      </c>
      <c r="E23" s="132">
        <f ca="1">+'Salaries (% Plan Expenditure)'!E23</f>
        <v>7353.21</v>
      </c>
      <c r="F23" s="132">
        <f ca="1">+'Salaries (% Plan Expenditure)'!F23</f>
        <v>15205.33</v>
      </c>
      <c r="G23" s="132">
        <f ca="1">+'Salaries (% Plan Expenditure)'!G23</f>
        <v>15205.33</v>
      </c>
      <c r="H23" s="132">
        <f ca="1">+'Salaries (% Plan Expenditure)'!H23</f>
        <v>18373.740000000002</v>
      </c>
      <c r="I23" s="132">
        <f ca="1">+'Salaries (% Plan Expenditure)'!I23</f>
        <v>20510</v>
      </c>
      <c r="J23" s="64">
        <f ca="1">+'Worksheet Pension &amp; RE'!J23-'Worksheet Pension &amp; RE'!C23-'IP as % of TRR'!C23</f>
        <v>22040.969999999998</v>
      </c>
      <c r="K23" s="64">
        <f ca="1">+'Worksheet Pension &amp; RE'!K23-'Worksheet Pension &amp; RE'!D23-'IP as % of TRR'!D23</f>
        <v>26610.98</v>
      </c>
      <c r="L23" s="64">
        <f ca="1">+'Worksheet Pension &amp; RE'!L23-'Worksheet Pension &amp; RE'!E23-'IP as % of TRR'!E23</f>
        <v>34173.039999999994</v>
      </c>
      <c r="M23" s="64">
        <f ca="1">+'Worksheet Pension &amp; RE'!M23-'Worksheet Pension &amp; RE'!F23-'IP as % of TRR'!F23</f>
        <v>40787.33</v>
      </c>
      <c r="N23" s="64">
        <f ca="1">+'Worksheet Pension &amp; RE'!N23-'Worksheet Pension &amp; RE'!G23-'IP as % of TRR'!G23</f>
        <v>42649.619999999995</v>
      </c>
      <c r="O23" s="64">
        <f ca="1">+'Worksheet Pension &amp; RE'!O23-'Worksheet Pension &amp; RE'!H23-'IP as % of TRR'!H23</f>
        <v>50673.5</v>
      </c>
      <c r="P23" s="64">
        <f ca="1">+'Worksheet Pension &amp; RE'!P23-'Worksheet Pension &amp; RE'!I23-'IP as % of TRR'!I23</f>
        <v>60220.59</v>
      </c>
      <c r="Q23" s="132">
        <f t="shared" si="7"/>
        <v>33.361553506946386</v>
      </c>
      <c r="R23" s="132">
        <f t="shared" si="8"/>
        <v>27.632240526279002</v>
      </c>
      <c r="S23" s="132">
        <f t="shared" si="9"/>
        <v>21.51757642867009</v>
      </c>
      <c r="T23" s="132">
        <f t="shared" si="10"/>
        <v>37.279542446146877</v>
      </c>
      <c r="U23" s="132">
        <f t="shared" si="11"/>
        <v>35.651736170216758</v>
      </c>
      <c r="V23" s="132">
        <f t="shared" si="12"/>
        <v>36.259070322752528</v>
      </c>
      <c r="W23" s="132">
        <f t="shared" si="12"/>
        <v>34.05811866007955</v>
      </c>
    </row>
    <row r="24" spans="1:23" ht="23.25" customHeight="1">
      <c r="A24" s="3">
        <v>17</v>
      </c>
      <c r="B24" s="6" t="s">
        <v>30</v>
      </c>
      <c r="C24" s="132">
        <f ca="1">+'Salaries (% Plan Expenditure)'!C24</f>
        <v>4216</v>
      </c>
      <c r="D24" s="132">
        <f ca="1">+'Salaries (% Plan Expenditure)'!D24</f>
        <v>6259</v>
      </c>
      <c r="E24" s="132">
        <f ca="1">+'Salaries (% Plan Expenditure)'!E24</f>
        <v>8429</v>
      </c>
      <c r="F24" s="132">
        <f ca="1">+'Salaries (% Plan Expenditure)'!F24</f>
        <v>9523</v>
      </c>
      <c r="G24" s="132">
        <f ca="1">+'Salaries (% Plan Expenditure)'!G24</f>
        <v>9715</v>
      </c>
      <c r="H24" s="132">
        <f ca="1">+'Salaries (% Plan Expenditure)'!H24</f>
        <v>11099</v>
      </c>
      <c r="I24" s="132">
        <f ca="1">+'Salaries (% Plan Expenditure)'!I24</f>
        <v>12790</v>
      </c>
      <c r="J24" s="64">
        <f ca="1">+'Worksheet Pension &amp; RE'!J24-'Worksheet Pension &amp; RE'!C24-'IP as % of TRR'!C24</f>
        <v>13883</v>
      </c>
      <c r="K24" s="64">
        <f ca="1">+'Worksheet Pension &amp; RE'!K24-'Worksheet Pension &amp; RE'!D24-'IP as % of TRR'!D24</f>
        <v>16582</v>
      </c>
      <c r="L24" s="64">
        <f ca="1">+'Worksheet Pension &amp; RE'!L24-'Worksheet Pension &amp; RE'!E24-'IP as % of TRR'!E24</f>
        <v>20131</v>
      </c>
      <c r="M24" s="64">
        <f ca="1">+'Worksheet Pension &amp; RE'!M24-'Worksheet Pension &amp; RE'!F24-'IP as % of TRR'!F24</f>
        <v>21897</v>
      </c>
      <c r="N24" s="64">
        <f ca="1">+'Worksheet Pension &amp; RE'!N24-'Worksheet Pension &amp; RE'!G24-'IP as % of TRR'!G24</f>
        <v>24810</v>
      </c>
      <c r="O24" s="64">
        <f ca="1">+'Worksheet Pension &amp; RE'!O24-'Worksheet Pension &amp; RE'!H24-'IP as % of TRR'!H24</f>
        <v>29521</v>
      </c>
      <c r="P24" s="64">
        <f ca="1">+'Worksheet Pension &amp; RE'!P24-'Worksheet Pension &amp; RE'!I24-'IP as % of TRR'!I24</f>
        <v>36103.56</v>
      </c>
      <c r="Q24" s="132">
        <f t="shared" si="7"/>
        <v>30.368076064251241</v>
      </c>
      <c r="R24" s="132">
        <f t="shared" si="8"/>
        <v>37.745748401881556</v>
      </c>
      <c r="S24" s="132">
        <f t="shared" si="9"/>
        <v>41.870746609706423</v>
      </c>
      <c r="T24" s="132">
        <f t="shared" si="10"/>
        <v>43.489975795771109</v>
      </c>
      <c r="U24" s="132">
        <f t="shared" si="11"/>
        <v>39.157597742845631</v>
      </c>
      <c r="V24" s="132">
        <f t="shared" si="12"/>
        <v>37.596964872463666</v>
      </c>
      <c r="W24" s="132">
        <f t="shared" si="12"/>
        <v>35.425869360251454</v>
      </c>
    </row>
    <row r="25" spans="1:23" ht="23.25" customHeight="1">
      <c r="A25" s="3">
        <v>18</v>
      </c>
      <c r="B25" s="6" t="s">
        <v>31</v>
      </c>
      <c r="C25" s="132">
        <f ca="1">+'Salaries (% Plan Expenditure)'!C25</f>
        <v>3166.73</v>
      </c>
      <c r="D25" s="132">
        <f ca="1">+'Salaries (% Plan Expenditure)'!D25</f>
        <v>3947.7400000000002</v>
      </c>
      <c r="E25" s="132">
        <f ca="1">+'Salaries (% Plan Expenditure)'!E25</f>
        <v>5394.07</v>
      </c>
      <c r="F25" s="132">
        <f ca="1">+'Salaries (% Plan Expenditure)'!F25</f>
        <v>5811.72</v>
      </c>
      <c r="G25" s="132">
        <f ca="1">+'Salaries (% Plan Expenditure)'!G25</f>
        <v>6305.58</v>
      </c>
      <c r="H25" s="132">
        <f ca="1">+'Salaries (% Plan Expenditure)'!H25</f>
        <v>6446.02</v>
      </c>
      <c r="I25" s="132">
        <f ca="1">+'Salaries (% Plan Expenditure)'!I25</f>
        <v>8143.59</v>
      </c>
      <c r="J25" s="64">
        <f ca="1">+'Worksheet Pension &amp; RE'!J25-'Worksheet Pension &amp; RE'!C25-'IP as % of TRR'!C25</f>
        <v>8255.619999999999</v>
      </c>
      <c r="K25" s="64">
        <f ca="1">+'Worksheet Pension &amp; RE'!K25-'Worksheet Pension &amp; RE'!D25-'IP as % of TRR'!D25</f>
        <v>10001.619999999999</v>
      </c>
      <c r="L25" s="64">
        <f ca="1">+'Worksheet Pension &amp; RE'!L25-'Worksheet Pension &amp; RE'!E25-'IP as % of TRR'!E25</f>
        <v>11139.96</v>
      </c>
      <c r="M25" s="64">
        <f ca="1">+'Worksheet Pension &amp; RE'!M25-'Worksheet Pension &amp; RE'!F25-'IP as % of TRR'!F25</f>
        <v>13636.09</v>
      </c>
      <c r="N25" s="64">
        <f ca="1">+'Worksheet Pension &amp; RE'!N25-'Worksheet Pension &amp; RE'!G25-'IP as % of TRR'!G25</f>
        <v>16427.810000000005</v>
      </c>
      <c r="O25" s="64">
        <f ca="1">+'Worksheet Pension &amp; RE'!O25-'Worksheet Pension &amp; RE'!H25-'IP as % of TRR'!H25</f>
        <v>18077.43</v>
      </c>
      <c r="P25" s="64">
        <f ca="1">+'Worksheet Pension &amp; RE'!P25-'Worksheet Pension &amp; RE'!I25-'IP as % of TRR'!I25</f>
        <v>24899.18</v>
      </c>
      <c r="Q25" s="132">
        <f t="shared" si="7"/>
        <v>38.35847580193856</v>
      </c>
      <c r="R25" s="132">
        <f t="shared" si="8"/>
        <v>39.471005697077075</v>
      </c>
      <c r="S25" s="132">
        <f t="shared" si="9"/>
        <v>48.42090994940736</v>
      </c>
      <c r="T25" s="132">
        <f t="shared" si="10"/>
        <v>42.620135244047233</v>
      </c>
      <c r="U25" s="132">
        <f t="shared" si="11"/>
        <v>38.383570299388644</v>
      </c>
      <c r="V25" s="132">
        <f t="shared" si="12"/>
        <v>35.657834105843591</v>
      </c>
      <c r="W25" s="132">
        <f t="shared" si="12"/>
        <v>32.706257796441491</v>
      </c>
    </row>
    <row r="26" spans="1:23" ht="23.25" customHeight="1">
      <c r="A26" s="3">
        <v>19</v>
      </c>
      <c r="B26" s="6" t="s">
        <v>32</v>
      </c>
      <c r="C26" s="132">
        <f ca="1">+'Salaries (% Plan Expenditure)'!C26</f>
        <v>7964</v>
      </c>
      <c r="D26" s="132">
        <f ca="1">+'Salaries (% Plan Expenditure)'!D26</f>
        <v>9256</v>
      </c>
      <c r="E26" s="132">
        <f ca="1">+'Salaries (% Plan Expenditure)'!E26</f>
        <v>9444</v>
      </c>
      <c r="F26" s="132">
        <f ca="1">+'Salaries (% Plan Expenditure)'!F26</f>
        <v>9951</v>
      </c>
      <c r="G26" s="132">
        <f ca="1">+'Salaries (% Plan Expenditure)'!G26</f>
        <v>11546</v>
      </c>
      <c r="H26" s="132">
        <f ca="1">+'Salaries (% Plan Expenditure)'!H26</f>
        <v>15700</v>
      </c>
      <c r="I26" s="132">
        <f ca="1">+'Salaries (% Plan Expenditure)'!I26</f>
        <v>17382</v>
      </c>
      <c r="J26" s="64">
        <f ca="1">+'Worksheet Pension &amp; RE'!J26-'Worksheet Pension &amp; RE'!C26-'IP as % of TRR'!C26</f>
        <v>29628.42</v>
      </c>
      <c r="K26" s="64">
        <f ca="1">+'Worksheet Pension &amp; RE'!K26-'Worksheet Pension &amp; RE'!D26-'IP as % of TRR'!D26</f>
        <v>33014.340000000004</v>
      </c>
      <c r="L26" s="64">
        <f ca="1">+'Worksheet Pension &amp; RE'!L26-'Worksheet Pension &amp; RE'!E26-'IP as % of TRR'!E26</f>
        <v>38916.089999999997</v>
      </c>
      <c r="M26" s="64">
        <f ca="1">+'Worksheet Pension &amp; RE'!M26-'Worksheet Pension &amp; RE'!F26-'IP as % of TRR'!F26</f>
        <v>44323</v>
      </c>
      <c r="N26" s="64">
        <f ca="1">+'Worksheet Pension &amp; RE'!N26-'Worksheet Pension &amp; RE'!G26-'IP as % of TRR'!G26</f>
        <v>53617</v>
      </c>
      <c r="O26" s="64">
        <f ca="1">+'Worksheet Pension &amp; RE'!O26-'Worksheet Pension &amp; RE'!H26-'IP as % of TRR'!H26</f>
        <v>62233</v>
      </c>
      <c r="P26" s="64">
        <f ca="1">+'Worksheet Pension &amp; RE'!P26-'Worksheet Pension &amp; RE'!I26-'IP as % of TRR'!I26</f>
        <v>80391</v>
      </c>
      <c r="Q26" s="132">
        <f t="shared" si="7"/>
        <v>26.879597359562208</v>
      </c>
      <c r="R26" s="132">
        <f t="shared" si="8"/>
        <v>28.036301800974968</v>
      </c>
      <c r="S26" s="132">
        <f t="shared" si="9"/>
        <v>24.267597284310938</v>
      </c>
      <c r="T26" s="132">
        <f t="shared" si="10"/>
        <v>22.451097624258288</v>
      </c>
      <c r="U26" s="132">
        <f t="shared" si="11"/>
        <v>21.534214894529722</v>
      </c>
      <c r="V26" s="132">
        <f t="shared" si="12"/>
        <v>25.227773046454455</v>
      </c>
      <c r="W26" s="132">
        <f t="shared" si="12"/>
        <v>21.621823338433408</v>
      </c>
    </row>
    <row r="27" spans="1:23" ht="23.25" customHeight="1">
      <c r="A27" s="3">
        <v>20</v>
      </c>
      <c r="B27" s="6" t="s">
        <v>33</v>
      </c>
      <c r="C27" s="132">
        <f ca="1">+'Salaries (% Plan Expenditure)'!C27</f>
        <v>7367.12</v>
      </c>
      <c r="D27" s="132">
        <f ca="1">+'Salaries (% Plan Expenditure)'!D27</f>
        <v>8800.9500000000007</v>
      </c>
      <c r="E27" s="132">
        <f ca="1">+'Salaries (% Plan Expenditure)'!E27</f>
        <v>9799.3799999999992</v>
      </c>
      <c r="F27" s="132">
        <f ca="1">+'Salaries (% Plan Expenditure)'!F27</f>
        <v>10698.32</v>
      </c>
      <c r="G27" s="132">
        <f ca="1">+'Salaries (% Plan Expenditure)'!G27</f>
        <v>9266.7799999999988</v>
      </c>
      <c r="H27" s="132">
        <f ca="1">+'Salaries (% Plan Expenditure)'!H27</f>
        <v>8689.36</v>
      </c>
      <c r="I27" s="132">
        <f ca="1">+'Salaries (% Plan Expenditure)'!I27</f>
        <v>17850.27</v>
      </c>
      <c r="J27" s="64">
        <f ca="1">+'Worksheet Pension &amp; RE'!J27-'Worksheet Pension &amp; RE'!C27-'IP as % of TRR'!C27</f>
        <v>15637.450000000003</v>
      </c>
      <c r="K27" s="64">
        <f ca="1">+'Worksheet Pension &amp; RE'!K27-'Worksheet Pension &amp; RE'!D27-'IP as % of TRR'!D27</f>
        <v>18877.740000000002</v>
      </c>
      <c r="L27" s="64">
        <f ca="1">+'Worksheet Pension &amp; RE'!L27-'Worksheet Pension &amp; RE'!E27-'IP as % of TRR'!E27</f>
        <v>21134.400000000001</v>
      </c>
      <c r="M27" s="64">
        <f ca="1">+'Worksheet Pension &amp; RE'!M27-'Worksheet Pension &amp; RE'!F27-'IP as % of TRR'!F27</f>
        <v>23207.66</v>
      </c>
      <c r="N27" s="64">
        <f ca="1">+'Worksheet Pension &amp; RE'!N27-'Worksheet Pension &amp; RE'!G27-'IP as % of TRR'!G27</f>
        <v>26802.050000000003</v>
      </c>
      <c r="O27" s="64">
        <f ca="1">+'Worksheet Pension &amp; RE'!O27-'Worksheet Pension &amp; RE'!H27-'IP as % of TRR'!H27</f>
        <v>28116.659999999996</v>
      </c>
      <c r="P27" s="64">
        <f ca="1">+'Worksheet Pension &amp; RE'!P27-'Worksheet Pension &amp; RE'!I27-'IP as % of TRR'!I27</f>
        <v>34091.229999999996</v>
      </c>
      <c r="Q27" s="132">
        <f t="shared" si="7"/>
        <v>47.112029135185075</v>
      </c>
      <c r="R27" s="132">
        <f t="shared" si="8"/>
        <v>46.620781936820826</v>
      </c>
      <c r="S27" s="132">
        <f t="shared" si="9"/>
        <v>46.36696570520099</v>
      </c>
      <c r="T27" s="132">
        <f t="shared" si="10"/>
        <v>46.098227912680557</v>
      </c>
      <c r="U27" s="132">
        <f t="shared" si="11"/>
        <v>34.574892592171111</v>
      </c>
      <c r="V27" s="132">
        <f t="shared" si="12"/>
        <v>30.904666485990873</v>
      </c>
      <c r="W27" s="132">
        <f t="shared" si="12"/>
        <v>52.360299115050999</v>
      </c>
    </row>
    <row r="28" spans="1:23" ht="23.25" customHeight="1">
      <c r="A28" s="3">
        <v>21</v>
      </c>
      <c r="B28" s="6" t="s">
        <v>34</v>
      </c>
      <c r="C28" s="132">
        <f ca="1">+'Salaries (% Plan Expenditure)'!C28</f>
        <v>6533.57</v>
      </c>
      <c r="D28" s="132">
        <f ca="1">+'Salaries (% Plan Expenditure)'!D28</f>
        <v>8076.8899999999994</v>
      </c>
      <c r="E28" s="132">
        <f ca="1">+'Salaries (% Plan Expenditure)'!E28</f>
        <v>10171.89</v>
      </c>
      <c r="F28" s="132">
        <f ca="1">+'Salaries (% Plan Expenditure)'!F28</f>
        <v>12425.13</v>
      </c>
      <c r="G28" s="132">
        <f ca="1">+'Salaries (% Plan Expenditure)'!G28</f>
        <v>13340.381000000001</v>
      </c>
      <c r="H28" s="132">
        <f ca="1">+'Salaries (% Plan Expenditure)'!H28</f>
        <v>15203.19</v>
      </c>
      <c r="I28" s="132">
        <f ca="1">+'Salaries (% Plan Expenditure)'!I28</f>
        <v>20472.13</v>
      </c>
      <c r="J28" s="64">
        <f ca="1">+'Worksheet Pension &amp; RE'!J28-'Worksheet Pension &amp; RE'!C28-'IP as % of TRR'!C28</f>
        <v>19446.05</v>
      </c>
      <c r="K28" s="64">
        <f ca="1">+'Worksheet Pension &amp; RE'!K28-'Worksheet Pension &amp; RE'!D28-'IP as % of TRR'!D28</f>
        <v>22888.840000000004</v>
      </c>
      <c r="L28" s="64">
        <f ca="1">+'Worksheet Pension &amp; RE'!L28-'Worksheet Pension &amp; RE'!E28-'IP as % of TRR'!E28</f>
        <v>28365.420000000002</v>
      </c>
      <c r="M28" s="64">
        <f ca="1">+'Worksheet Pension &amp; RE'!M28-'Worksheet Pension &amp; RE'!F28-'IP as % of TRR'!F28</f>
        <v>36196.11</v>
      </c>
      <c r="N28" s="64">
        <f ca="1">+'Worksheet Pension &amp; RE'!N28-'Worksheet Pension &amp; RE'!G28-'IP as % of TRR'!G28</f>
        <v>43005.03</v>
      </c>
      <c r="O28" s="64">
        <f ca="1">+'Worksheet Pension &amp; RE'!O28-'Worksheet Pension &amp; RE'!H28-'IP as % of TRR'!H28</f>
        <v>52448.01</v>
      </c>
      <c r="P28" s="64">
        <f ca="1">+'Worksheet Pension &amp; RE'!P28-'Worksheet Pension &amp; RE'!I28-'IP as % of TRR'!I28</f>
        <v>61339.26999999999</v>
      </c>
      <c r="Q28" s="132">
        <f t="shared" si="7"/>
        <v>33.598442871431473</v>
      </c>
      <c r="R28" s="132">
        <f t="shared" si="8"/>
        <v>35.287458866416991</v>
      </c>
      <c r="S28" s="132">
        <f t="shared" si="9"/>
        <v>35.860177638829242</v>
      </c>
      <c r="T28" s="132">
        <f t="shared" si="10"/>
        <v>34.327252293133157</v>
      </c>
      <c r="U28" s="132">
        <f t="shared" si="11"/>
        <v>31.020513181830129</v>
      </c>
      <c r="V28" s="132">
        <f t="shared" si="12"/>
        <v>28.987162715992465</v>
      </c>
      <c r="W28" s="132">
        <f t="shared" si="12"/>
        <v>33.375242320294987</v>
      </c>
    </row>
    <row r="29" spans="1:23" ht="23.25" customHeight="1">
      <c r="A29" s="3">
        <v>22</v>
      </c>
      <c r="B29" s="6" t="s">
        <v>35</v>
      </c>
      <c r="C29" s="132">
        <f ca="1">+'Salaries (% Plan Expenditure)'!C29</f>
        <v>22879.170000000002</v>
      </c>
      <c r="D29" s="132">
        <f ca="1">+'Salaries (% Plan Expenditure)'!D29</f>
        <v>24478</v>
      </c>
      <c r="E29" s="132">
        <f ca="1">+'Salaries (% Plan Expenditure)'!E29</f>
        <v>35467.909999999996</v>
      </c>
      <c r="F29" s="132">
        <f ca="1">+'Salaries (% Plan Expenditure)'!F29</f>
        <v>41746</v>
      </c>
      <c r="G29" s="132">
        <f ca="1">+'Salaries (% Plan Expenditure)'!G29</f>
        <v>45479.85</v>
      </c>
      <c r="H29" s="132">
        <f ca="1">+'Salaries (% Plan Expenditure)'!H29</f>
        <v>54881</v>
      </c>
      <c r="I29" s="132">
        <f ca="1">+'Salaries (% Plan Expenditure)'!I29</f>
        <v>60679.999999999993</v>
      </c>
      <c r="J29" s="64">
        <f ca="1">+'Worksheet Pension &amp; RE'!J29-'Worksheet Pension &amp; RE'!C29-'IP as % of TRR'!C29</f>
        <v>47893.75</v>
      </c>
      <c r="K29" s="64">
        <f ca="1">+'Worksheet Pension &amp; RE'!K29-'Worksheet Pension &amp; RE'!D29-'IP as % of TRR'!D29</f>
        <v>57063.600000000006</v>
      </c>
      <c r="L29" s="64">
        <f ca="1">+'Worksheet Pension &amp; RE'!L29-'Worksheet Pension &amp; RE'!E29-'IP as % of TRR'!E29</f>
        <v>73859.360000000001</v>
      </c>
      <c r="M29" s="64">
        <f ca="1">+'Worksheet Pension &amp; RE'!M29-'Worksheet Pension &amp; RE'!F29-'IP as % of TRR'!F29</f>
        <v>80925.48</v>
      </c>
      <c r="N29" s="64">
        <f ca="1">+'Worksheet Pension &amp; RE'!N29-'Worksheet Pension &amp; RE'!G29-'IP as % of TRR'!G29</f>
        <v>95546.239999999991</v>
      </c>
      <c r="O29" s="64">
        <f ca="1">+'Worksheet Pension &amp; RE'!O29-'Worksheet Pension &amp; RE'!H29-'IP as % of TRR'!H29</f>
        <v>104643.44</v>
      </c>
      <c r="P29" s="64">
        <f ca="1">+'Worksheet Pension &amp; RE'!P29-'Worksheet Pension &amp; RE'!I29-'IP as % of TRR'!I29</f>
        <v>122355.03</v>
      </c>
      <c r="Q29" s="132">
        <f t="shared" si="7"/>
        <v>47.770679890382361</v>
      </c>
      <c r="R29" s="132">
        <f t="shared" si="8"/>
        <v>42.895996747488766</v>
      </c>
      <c r="S29" s="132">
        <f t="shared" si="9"/>
        <v>48.020873725415427</v>
      </c>
      <c r="T29" s="132">
        <f t="shared" si="10"/>
        <v>51.585730476977098</v>
      </c>
      <c r="U29" s="132">
        <f t="shared" si="11"/>
        <v>47.599832290627035</v>
      </c>
      <c r="V29" s="132">
        <f t="shared" si="12"/>
        <v>52.445714705097615</v>
      </c>
      <c r="W29" s="132">
        <f t="shared" si="12"/>
        <v>49.593384105255005</v>
      </c>
    </row>
    <row r="30" spans="1:23" ht="23.25" customHeight="1">
      <c r="A30" s="3">
        <v>23</v>
      </c>
      <c r="B30" s="6" t="s">
        <v>74</v>
      </c>
      <c r="C30" s="132">
        <f ca="1">+'Salaries (% Plan Expenditure)'!C30</f>
        <v>4745.4399999999996</v>
      </c>
      <c r="D30" s="132">
        <f ca="1">+'Salaries (% Plan Expenditure)'!D30</f>
        <v>7033.66</v>
      </c>
      <c r="E30" s="132">
        <f ca="1">+'Salaries (% Plan Expenditure)'!E30</f>
        <v>8465.8799999999992</v>
      </c>
      <c r="F30" s="132">
        <f ca="1">+'Salaries (% Plan Expenditure)'!F30</f>
        <v>8838.92</v>
      </c>
      <c r="G30" s="132">
        <f ca="1">+'Salaries (% Plan Expenditure)'!G30</f>
        <v>8745.74</v>
      </c>
      <c r="H30" s="132">
        <f ca="1">+'Salaries (% Plan Expenditure)'!H30</f>
        <v>9515.42</v>
      </c>
      <c r="I30" s="132">
        <f ca="1">+'Salaries (% Plan Expenditure)'!I30</f>
        <v>14523.849999999999</v>
      </c>
      <c r="J30" s="64">
        <f ca="1">+'Worksheet Pension &amp; RE'!J30-'Worksheet Pension &amp; RE'!C30-'IP as % of TRR'!C30</f>
        <v>12752.43</v>
      </c>
      <c r="K30" s="64">
        <f ca="1">+'Worksheet Pension &amp; RE'!K30-'Worksheet Pension &amp; RE'!D30-'IP as % of TRR'!D30</f>
        <v>15883.51</v>
      </c>
      <c r="L30" s="64">
        <f ca="1">+'Worksheet Pension &amp; RE'!L30-'Worksheet Pension &amp; RE'!E30-'IP as % of TRR'!E30</f>
        <v>18964</v>
      </c>
      <c r="M30" s="64">
        <f ca="1">+'Worksheet Pension &amp; RE'!M30-'Worksheet Pension &amp; RE'!F30-'IP as % of TRR'!F30</f>
        <v>22295.48</v>
      </c>
      <c r="N30" s="64">
        <f ca="1">+'Worksheet Pension &amp; RE'!N30-'Worksheet Pension &amp; RE'!G30-'IP as % of TRR'!G30</f>
        <v>27343.049999999996</v>
      </c>
      <c r="O30" s="64">
        <f ca="1">+'Worksheet Pension &amp; RE'!O30-'Worksheet Pension &amp; RE'!H30-'IP as % of TRR'!H30</f>
        <v>30050.95</v>
      </c>
      <c r="P30" s="64">
        <f ca="1">+'Worksheet Pension &amp; RE'!P30-'Worksheet Pension &amp; RE'!I30-'IP as % of TRR'!I30</f>
        <v>37658.51</v>
      </c>
      <c r="Q30" s="132">
        <f t="shared" si="7"/>
        <v>37.212045076899066</v>
      </c>
      <c r="R30" s="132">
        <f t="shared" si="8"/>
        <v>44.282781324782746</v>
      </c>
      <c r="S30" s="132">
        <f t="shared" si="9"/>
        <v>44.641847711453273</v>
      </c>
      <c r="T30" s="132">
        <f t="shared" si="10"/>
        <v>39.644448112352819</v>
      </c>
      <c r="U30" s="132">
        <f t="shared" si="11"/>
        <v>31.985239393557052</v>
      </c>
      <c r="V30" s="132">
        <f t="shared" si="12"/>
        <v>31.664290147233281</v>
      </c>
      <c r="W30" s="132">
        <f t="shared" si="12"/>
        <v>38.567245491125377</v>
      </c>
    </row>
    <row r="31" spans="1:23" ht="23.25" customHeight="1">
      <c r="A31" s="3">
        <v>24</v>
      </c>
      <c r="B31" s="6" t="s">
        <v>36</v>
      </c>
      <c r="C31" s="132">
        <f ca="1">+'Salaries (% Plan Expenditure)'!C31</f>
        <v>6316.4100000000008</v>
      </c>
      <c r="D31" s="132">
        <f ca="1">+'Salaries (% Plan Expenditure)'!D31</f>
        <v>6744.8099999999995</v>
      </c>
      <c r="E31" s="132">
        <f ca="1">+'Salaries (% Plan Expenditure)'!E31</f>
        <v>8131.31</v>
      </c>
      <c r="F31" s="132">
        <f ca="1">+'Salaries (% Plan Expenditure)'!F31</f>
        <v>9635.18</v>
      </c>
      <c r="G31" s="132">
        <f ca="1">+'Salaries (% Plan Expenditure)'!G31</f>
        <v>12273.79</v>
      </c>
      <c r="H31" s="132">
        <f ca="1">+'Salaries (% Plan Expenditure)'!H31</f>
        <v>13868.64</v>
      </c>
      <c r="I31" s="132">
        <f ca="1">+'Salaries (% Plan Expenditure)'!I31</f>
        <v>15269.12</v>
      </c>
      <c r="J31" s="64">
        <f ca="1">+'Worksheet Pension &amp; RE'!J31-'Worksheet Pension &amp; RE'!C31-'IP as % of TRR'!C31</f>
        <v>16101.35</v>
      </c>
      <c r="K31" s="64">
        <f ca="1">+'Worksheet Pension &amp; RE'!K31-'Worksheet Pension &amp; RE'!D31-'IP as % of TRR'!D31</f>
        <v>16837.480000000003</v>
      </c>
      <c r="L31" s="64">
        <f ca="1">+'Worksheet Pension &amp; RE'!L31-'Worksheet Pension &amp; RE'!E31-'IP as % of TRR'!E31</f>
        <v>19039.53</v>
      </c>
      <c r="M31" s="64">
        <f ca="1">+'Worksheet Pension &amp; RE'!M31-'Worksheet Pension &amp; RE'!F31-'IP as % of TRR'!F31</f>
        <v>22072.75</v>
      </c>
      <c r="N31" s="64">
        <f ca="1">+'Worksheet Pension &amp; RE'!N31-'Worksheet Pension &amp; RE'!G31-'IP as % of TRR'!G31</f>
        <v>21108.1</v>
      </c>
      <c r="O31" s="64">
        <f ca="1">+'Worksheet Pension &amp; RE'!O31-'Worksheet Pension &amp; RE'!H31-'IP as % of TRR'!H31</f>
        <v>26660.660000000003</v>
      </c>
      <c r="P31" s="64">
        <f ca="1">+'Worksheet Pension &amp; RE'!P31-'Worksheet Pension &amp; RE'!I31-'IP as % of TRR'!I31</f>
        <v>31642.250000000004</v>
      </c>
      <c r="Q31" s="132">
        <f t="shared" si="7"/>
        <v>39.229070854307253</v>
      </c>
      <c r="R31" s="132">
        <f t="shared" si="8"/>
        <v>40.058310388490433</v>
      </c>
      <c r="S31" s="132">
        <f t="shared" si="9"/>
        <v>42.707514313641148</v>
      </c>
      <c r="T31" s="132">
        <f t="shared" si="10"/>
        <v>43.651923752137819</v>
      </c>
      <c r="U31" s="132">
        <f t="shared" si="11"/>
        <v>58.147298904212128</v>
      </c>
      <c r="V31" s="132">
        <f t="shared" si="12"/>
        <v>52.0191173061732</v>
      </c>
      <c r="W31" s="132">
        <f t="shared" si="12"/>
        <v>48.255481199977872</v>
      </c>
    </row>
    <row r="32" spans="1:23" ht="23.25" customHeight="1">
      <c r="A32" s="3">
        <v>25</v>
      </c>
      <c r="B32" s="6" t="s">
        <v>37</v>
      </c>
      <c r="C32" s="132">
        <f ca="1">+'Salaries (% Plan Expenditure)'!C32</f>
        <v>7691.85</v>
      </c>
      <c r="D32" s="132">
        <f ca="1">+'Salaries (% Plan Expenditure)'!D32</f>
        <v>11269.49</v>
      </c>
      <c r="E32" s="132">
        <f ca="1">+'Salaries (% Plan Expenditure)'!E32</f>
        <v>13802.12</v>
      </c>
      <c r="F32" s="132">
        <f ca="1">+'Salaries (% Plan Expenditure)'!F32</f>
        <v>13351.22</v>
      </c>
      <c r="G32" s="132">
        <f ca="1">+'Salaries (% Plan Expenditure)'!G32</f>
        <v>14479.89</v>
      </c>
      <c r="H32" s="132">
        <f ca="1">+'Salaries (% Plan Expenditure)'!H32</f>
        <v>16406.580000000002</v>
      </c>
      <c r="I32" s="132">
        <f ca="1">+'Salaries (% Plan Expenditure)'!I32</f>
        <v>20121.939999999999</v>
      </c>
      <c r="J32" s="64">
        <f ca="1">+'Worksheet Pension &amp; RE'!J32-'Worksheet Pension &amp; RE'!C32-'IP as % of TRR'!C32</f>
        <v>20620.46</v>
      </c>
      <c r="K32" s="64">
        <f ca="1">+'Worksheet Pension &amp; RE'!K32-'Worksheet Pension &amp; RE'!D32-'IP as % of TRR'!D32</f>
        <v>24749.239999999998</v>
      </c>
      <c r="L32" s="64">
        <f ca="1">+'Worksheet Pension &amp; RE'!L32-'Worksheet Pension &amp; RE'!E32-'IP as % of TRR'!E32</f>
        <v>28476.210000000003</v>
      </c>
      <c r="M32" s="64">
        <f ca="1">+'Worksheet Pension &amp; RE'!M32-'Worksheet Pension &amp; RE'!F32-'IP as % of TRR'!F32</f>
        <v>32353.699999999997</v>
      </c>
      <c r="N32" s="64">
        <f ca="1">+'Worksheet Pension &amp; RE'!N32-'Worksheet Pension &amp; RE'!G32-'IP as % of TRR'!G32</f>
        <v>39841.699999999997</v>
      </c>
      <c r="O32" s="64">
        <f ca="1">+'Worksheet Pension &amp; RE'!O32-'Worksheet Pension &amp; RE'!H32-'IP as % of TRR'!H32</f>
        <v>48264.05</v>
      </c>
      <c r="P32" s="64">
        <f ca="1">+'Worksheet Pension &amp; RE'!P32-'Worksheet Pension &amp; RE'!I32-'IP as % of TRR'!I32</f>
        <v>59102.27</v>
      </c>
      <c r="Q32" s="132">
        <f t="shared" si="7"/>
        <v>37.302029149689197</v>
      </c>
      <c r="R32" s="132">
        <f t="shared" si="8"/>
        <v>45.5346911662742</v>
      </c>
      <c r="S32" s="132">
        <f t="shared" si="9"/>
        <v>48.468950046372036</v>
      </c>
      <c r="T32" s="132">
        <f t="shared" si="10"/>
        <v>41.266439387148921</v>
      </c>
      <c r="U32" s="132">
        <f t="shared" si="11"/>
        <v>36.343554617398354</v>
      </c>
      <c r="V32" s="132">
        <f t="shared" si="12"/>
        <v>33.993376022111697</v>
      </c>
      <c r="W32" s="132">
        <f t="shared" si="12"/>
        <v>34.045968115945463</v>
      </c>
    </row>
    <row r="33" spans="1:23" ht="23.25" customHeight="1">
      <c r="A33" s="3">
        <v>26</v>
      </c>
      <c r="B33" s="6" t="s">
        <v>38</v>
      </c>
      <c r="C33" s="132">
        <f ca="1">+'Salaries (% Plan Expenditure)'!C33</f>
        <v>11005.84</v>
      </c>
      <c r="D33" s="132">
        <f ca="1">+'Salaries (% Plan Expenditure)'!D33</f>
        <v>14265.63</v>
      </c>
      <c r="E33" s="132">
        <f ca="1">+'Salaries (% Plan Expenditure)'!E33</f>
        <v>17275.68</v>
      </c>
      <c r="F33" s="132">
        <f ca="1">+'Salaries (% Plan Expenditure)'!F33</f>
        <v>21545.200000000001</v>
      </c>
      <c r="G33" s="132">
        <f ca="1">+'Salaries (% Plan Expenditure)'!G33</f>
        <v>23602.5</v>
      </c>
      <c r="H33" s="132">
        <f ca="1">+'Salaries (% Plan Expenditure)'!H33</f>
        <v>27338.14</v>
      </c>
      <c r="I33" s="132">
        <f ca="1">+'Salaries (% Plan Expenditure)'!I33</f>
        <v>34570</v>
      </c>
      <c r="J33" s="64">
        <f ca="1">+'Worksheet Pension &amp; RE'!J33-'Worksheet Pension &amp; RE'!C33-'IP as % of TRR'!C33</f>
        <v>30872.130000000005</v>
      </c>
      <c r="K33" s="64">
        <f ca="1">+'Worksheet Pension &amp; RE'!K33-'Worksheet Pension &amp; RE'!D33-'IP as % of TRR'!D33</f>
        <v>39892.890000000007</v>
      </c>
      <c r="L33" s="64">
        <f ca="1">+'Worksheet Pension &amp; RE'!L33-'Worksheet Pension &amp; RE'!E33-'IP as % of TRR'!E33</f>
        <v>44323.11</v>
      </c>
      <c r="M33" s="64">
        <f ca="1">+'Worksheet Pension &amp; RE'!M33-'Worksheet Pension &amp; RE'!F33-'IP as % of TRR'!F33</f>
        <v>53208.31</v>
      </c>
      <c r="N33" s="64">
        <f ca="1">+'Worksheet Pension &amp; RE'!N33-'Worksheet Pension &amp; RE'!G33-'IP as % of TRR'!G33</f>
        <v>62370.45</v>
      </c>
      <c r="O33" s="64">
        <f ca="1">+'Worksheet Pension &amp; RE'!O33-'Worksheet Pension &amp; RE'!H33-'IP as % of TRR'!H33</f>
        <v>74096.160000000003</v>
      </c>
      <c r="P33" s="64">
        <f ca="1">+'Worksheet Pension &amp; RE'!P33-'Worksheet Pension &amp; RE'!I33-'IP as % of TRR'!I33</f>
        <v>88268.020000000019</v>
      </c>
      <c r="Q33" s="132">
        <f t="shared" si="7"/>
        <v>35.649759184092574</v>
      </c>
      <c r="R33" s="132">
        <f t="shared" si="8"/>
        <v>35.759830887158081</v>
      </c>
      <c r="S33" s="132">
        <f t="shared" si="9"/>
        <v>38.976687330830352</v>
      </c>
      <c r="T33" s="132">
        <f t="shared" si="10"/>
        <v>40.492171241672594</v>
      </c>
      <c r="U33" s="132">
        <f t="shared" si="11"/>
        <v>37.842439809236588</v>
      </c>
      <c r="V33" s="132">
        <f t="shared" si="12"/>
        <v>36.895488241225991</v>
      </c>
      <c r="W33" s="132">
        <f t="shared" si="12"/>
        <v>39.164807367379481</v>
      </c>
    </row>
    <row r="34" spans="1:23" ht="23.25" customHeight="1">
      <c r="A34" s="3">
        <v>27</v>
      </c>
      <c r="B34" s="6" t="s">
        <v>39</v>
      </c>
      <c r="C34" s="132">
        <f ca="1">+'Salaries (% Plan Expenditure)'!C34</f>
        <v>19603.89</v>
      </c>
      <c r="D34" s="132">
        <f ca="1">+'Salaries (% Plan Expenditure)'!D34</f>
        <v>14156.88</v>
      </c>
      <c r="E34" s="132">
        <f ca="1">+'Salaries (% Plan Expenditure)'!E34</f>
        <v>19711.009999999998</v>
      </c>
      <c r="F34" s="132">
        <f ca="1">+'Salaries (% Plan Expenditure)'!F34</f>
        <v>22659.18</v>
      </c>
      <c r="G34" s="132">
        <f ca="1">+'Salaries (% Plan Expenditure)'!G34</f>
        <v>26660.71</v>
      </c>
      <c r="H34" s="132">
        <f ca="1">+'Salaries (% Plan Expenditure)'!H34</f>
        <v>30608.620000000003</v>
      </c>
      <c r="I34" s="132">
        <f ca="1">+'Salaries (% Plan Expenditure)'!I34</f>
        <v>33895.839999999997</v>
      </c>
      <c r="J34" s="64">
        <f ca="1">+'Worksheet Pension &amp; RE'!J34-'Worksheet Pension &amp; RE'!C34-'IP as % of TRR'!C34</f>
        <v>48266.82</v>
      </c>
      <c r="K34" s="64">
        <f ca="1">+'Worksheet Pension &amp; RE'!K34-'Worksheet Pension &amp; RE'!D34-'IP as % of TRR'!D34</f>
        <v>57667.61</v>
      </c>
      <c r="L34" s="64">
        <f ca="1">+'Worksheet Pension &amp; RE'!L34-'Worksheet Pension &amp; RE'!E34-'IP as % of TRR'!E34</f>
        <v>66310.720000000001</v>
      </c>
      <c r="M34" s="64">
        <f ca="1">+'Worksheet Pension &amp; RE'!M34-'Worksheet Pension &amp; RE'!F34-'IP as % of TRR'!F34</f>
        <v>80842.200000000012</v>
      </c>
      <c r="N34" s="64">
        <f ca="1">+'Worksheet Pension &amp; RE'!N34-'Worksheet Pension &amp; RE'!G34-'IP as % of TRR'!G34</f>
        <v>94277.16</v>
      </c>
      <c r="O34" s="64">
        <f ca="1">+'Worksheet Pension &amp; RE'!O34-'Worksheet Pension &amp; RE'!H34-'IP as % of TRR'!H34</f>
        <v>115719.1</v>
      </c>
      <c r="P34" s="64">
        <f ca="1">+'Worksheet Pension &amp; RE'!P34-'Worksheet Pension &amp; RE'!I34-'IP as % of TRR'!I34</f>
        <v>129982.82</v>
      </c>
      <c r="Q34" s="132">
        <f t="shared" si="7"/>
        <v>40.615665171229423</v>
      </c>
      <c r="R34" s="132">
        <f t="shared" si="8"/>
        <v>24.54910130660868</v>
      </c>
      <c r="S34" s="132">
        <f t="shared" si="9"/>
        <v>29.725223915529792</v>
      </c>
      <c r="T34" s="132">
        <f t="shared" si="10"/>
        <v>28.028900747381936</v>
      </c>
      <c r="U34" s="132">
        <f t="shared" si="11"/>
        <v>28.279076289527598</v>
      </c>
      <c r="V34" s="132">
        <f t="shared" si="12"/>
        <v>26.450793343536201</v>
      </c>
      <c r="W34" s="132">
        <f t="shared" si="12"/>
        <v>26.077169275139589</v>
      </c>
    </row>
    <row r="35" spans="1:23" ht="23.25" customHeight="1">
      <c r="A35" s="3">
        <v>28</v>
      </c>
      <c r="B35" s="6" t="s">
        <v>40</v>
      </c>
      <c r="C35" s="132">
        <f ca="1">+'Salaries (% Plan Expenditure)'!C35</f>
        <v>11618.4</v>
      </c>
      <c r="D35" s="132">
        <f ca="1">+'Salaries (% Plan Expenditure)'!D35</f>
        <v>12985.59</v>
      </c>
      <c r="E35" s="132">
        <f ca="1">+'Salaries (% Plan Expenditure)'!E35</f>
        <v>20826.669999999998</v>
      </c>
      <c r="F35" s="132">
        <f ca="1">+'Salaries (% Plan Expenditure)'!F35</f>
        <v>23727.95</v>
      </c>
      <c r="G35" s="132">
        <f ca="1">+'Salaries (% Plan Expenditure)'!G35</f>
        <v>25483.89</v>
      </c>
      <c r="H35" s="132">
        <f ca="1">+'Salaries (% Plan Expenditure)'!H35</f>
        <v>26684.799999999999</v>
      </c>
      <c r="I35" s="132">
        <f ca="1">+'Salaries (% Plan Expenditure)'!I35</f>
        <v>31037.74</v>
      </c>
      <c r="J35" s="64">
        <f ca="1">+'Worksheet Pension &amp; RE'!J35-'Worksheet Pension &amp; RE'!C35-'IP as % of TRR'!C35</f>
        <v>22935.46</v>
      </c>
      <c r="K35" s="64">
        <f ca="1">+'Worksheet Pension &amp; RE'!K35-'Worksheet Pension &amp; RE'!D35-'IP as % of TRR'!D35</f>
        <v>35111.53</v>
      </c>
      <c r="L35" s="64">
        <f ca="1">+'Worksheet Pension &amp; RE'!L35-'Worksheet Pension &amp; RE'!E35-'IP as % of TRR'!E35</f>
        <v>38684.189999999995</v>
      </c>
      <c r="M35" s="64">
        <f ca="1">+'Worksheet Pension &amp; RE'!M35-'Worksheet Pension &amp; RE'!F35-'IP as % of TRR'!F35</f>
        <v>42642.900000000009</v>
      </c>
      <c r="N35" s="64">
        <f ca="1">+'Worksheet Pension &amp; RE'!N35-'Worksheet Pension &amp; RE'!G35-'IP as % of TRR'!G35</f>
        <v>47364.639999999999</v>
      </c>
      <c r="O35" s="64">
        <f ca="1">+'Worksheet Pension &amp; RE'!O35-'Worksheet Pension &amp; RE'!H35-'IP as % of TRR'!H35</f>
        <v>53504.490000000005</v>
      </c>
      <c r="P35" s="64">
        <f ca="1">+'Worksheet Pension &amp; RE'!P35-'Worksheet Pension &amp; RE'!I35-'IP as % of TRR'!I35</f>
        <v>61913.06</v>
      </c>
      <c r="Q35" s="132">
        <f t="shared" si="7"/>
        <v>50.656930360236942</v>
      </c>
      <c r="R35" s="132">
        <f t="shared" si="8"/>
        <v>36.983834085270566</v>
      </c>
      <c r="S35" s="132">
        <f t="shared" si="9"/>
        <v>53.837678907067719</v>
      </c>
      <c r="T35" s="132">
        <f t="shared" si="10"/>
        <v>55.643377912853012</v>
      </c>
      <c r="U35" s="132">
        <f t="shared" si="11"/>
        <v>53.803618057690294</v>
      </c>
      <c r="V35" s="132">
        <f t="shared" si="12"/>
        <v>49.873945158621261</v>
      </c>
      <c r="W35" s="132">
        <f t="shared" si="12"/>
        <v>50.131167802076014</v>
      </c>
    </row>
    <row r="36" spans="1:23" s="67" customFormat="1" ht="23.25" customHeight="1">
      <c r="A36" s="4"/>
      <c r="B36" s="4" t="s">
        <v>192</v>
      </c>
      <c r="C36" s="133">
        <f t="shared" ref="C36:O36" si="13">SUM(C19:C35)</f>
        <v>143207.07</v>
      </c>
      <c r="D36" s="133">
        <f t="shared" si="13"/>
        <v>160762.23000000001</v>
      </c>
      <c r="E36" s="133">
        <f t="shared" si="13"/>
        <v>206983.09000000003</v>
      </c>
      <c r="F36" s="133">
        <f t="shared" si="13"/>
        <v>246054.64000000004</v>
      </c>
      <c r="G36" s="133">
        <f t="shared" si="13"/>
        <v>268771.97099999996</v>
      </c>
      <c r="H36" s="133">
        <f t="shared" si="13"/>
        <v>302622.67000000004</v>
      </c>
      <c r="I36" s="133">
        <f ca="1">SUM(I19:I35)</f>
        <v>365425.89</v>
      </c>
      <c r="J36" s="65">
        <f t="shared" si="13"/>
        <v>377565.04000000004</v>
      </c>
      <c r="K36" s="65">
        <f t="shared" si="13"/>
        <v>458506.29000000004</v>
      </c>
      <c r="L36" s="65">
        <f t="shared" si="13"/>
        <v>533727.5</v>
      </c>
      <c r="M36" s="65">
        <f t="shared" si="13"/>
        <v>620957.85</v>
      </c>
      <c r="N36" s="65">
        <f t="shared" si="13"/>
        <v>721886.57</v>
      </c>
      <c r="O36" s="65">
        <f t="shared" si="13"/>
        <v>842250.48</v>
      </c>
      <c r="P36" s="65">
        <f ca="1">SUM(P19:P35)</f>
        <v>1019528.78</v>
      </c>
      <c r="Q36" s="133">
        <f t="shared" si="7"/>
        <v>37.929112822521915</v>
      </c>
      <c r="R36" s="133">
        <f t="shared" si="8"/>
        <v>35.062164577938503</v>
      </c>
      <c r="S36" s="133">
        <f t="shared" si="9"/>
        <v>38.780668037528521</v>
      </c>
      <c r="T36" s="133">
        <f>F36/M36*100</f>
        <v>39.625014805755342</v>
      </c>
      <c r="U36" s="133">
        <f>G36/N36*100</f>
        <v>37.231884089490677</v>
      </c>
      <c r="V36" s="133">
        <f>H36/O36*100</f>
        <v>35.930246071216253</v>
      </c>
      <c r="W36" s="133">
        <f>I36/P36*100</f>
        <v>35.842626237584</v>
      </c>
    </row>
    <row r="37" spans="1:23" ht="23.25" customHeight="1">
      <c r="A37" s="6"/>
      <c r="B37" s="4" t="s">
        <v>53</v>
      </c>
      <c r="C37" s="132"/>
      <c r="D37" s="132"/>
      <c r="E37" s="132"/>
      <c r="F37" s="132"/>
      <c r="G37" s="132"/>
      <c r="H37" s="132"/>
      <c r="I37" s="132"/>
      <c r="J37" s="64"/>
      <c r="K37" s="64"/>
      <c r="L37" s="64"/>
      <c r="M37" s="64"/>
      <c r="N37" s="64"/>
      <c r="O37" s="64"/>
      <c r="P37" s="64"/>
      <c r="Q37" s="132"/>
      <c r="R37" s="132"/>
      <c r="S37" s="140"/>
      <c r="T37" s="140"/>
      <c r="U37" s="140"/>
      <c r="V37" s="140"/>
      <c r="W37" s="140"/>
    </row>
    <row r="38" spans="1:23" ht="23.25" customHeight="1">
      <c r="A38" s="3">
        <v>29</v>
      </c>
      <c r="B38" s="6" t="s">
        <v>43</v>
      </c>
      <c r="C38" s="132">
        <f ca="1">+'Salaries (% Plan Expenditure)'!C38</f>
        <v>1713.62</v>
      </c>
      <c r="D38" s="132">
        <f ca="1">+'Salaries (% Plan Expenditure)'!D38</f>
        <v>2905.18</v>
      </c>
      <c r="E38" s="132">
        <f ca="1">+'Salaries (% Plan Expenditure)'!E38</f>
        <v>3836.32</v>
      </c>
      <c r="F38" s="132">
        <f ca="1">+'Salaries (% Plan Expenditure)'!F38</f>
        <v>3431.86</v>
      </c>
      <c r="G38" s="132">
        <f ca="1">+'Salaries (% Plan Expenditure)'!G38</f>
        <v>3784.94</v>
      </c>
      <c r="H38" s="132">
        <f ca="1">+'Salaries (% Plan Expenditure)'!H38</f>
        <v>4260.92</v>
      </c>
      <c r="I38" s="132">
        <f ca="1">+'Salaries (% Plan Expenditure)'!I38</f>
        <v>5027.0600000000004</v>
      </c>
      <c r="J38" s="64">
        <f ca="1">+'Worksheet Pension &amp; RE'!J38-'Worksheet Pension &amp; RE'!C38-'IP as % of TRR'!C38</f>
        <v>7266.18</v>
      </c>
      <c r="K38" s="64">
        <f ca="1">+'Worksheet Pension &amp; RE'!K38-'Worksheet Pension &amp; RE'!D38-'IP as % of TRR'!D38</f>
        <v>9250.6899999999987</v>
      </c>
      <c r="L38" s="64">
        <f ca="1">+'Worksheet Pension &amp; RE'!L38-'Worksheet Pension &amp; RE'!E38-'IP as % of TRR'!E38</f>
        <v>11427.96</v>
      </c>
      <c r="M38" s="64">
        <f ca="1">+'Worksheet Pension &amp; RE'!M38-'Worksheet Pension &amp; RE'!F38-'IP as % of TRR'!F38</f>
        <v>11802.22</v>
      </c>
      <c r="N38" s="64">
        <f ca="1">+'Worksheet Pension &amp; RE'!N38-'Worksheet Pension &amp; RE'!G38-'IP as % of TRR'!G38</f>
        <v>15047.6</v>
      </c>
      <c r="O38" s="64">
        <f ca="1">+'Worksheet Pension &amp; RE'!O38-'Worksheet Pension &amp; RE'!H38-'IP as % of TRR'!H38</f>
        <v>17796.48</v>
      </c>
      <c r="P38" s="64">
        <f ca="1">+'Worksheet Pension &amp; RE'!P38-'Worksheet Pension &amp; RE'!I38-'IP as % of TRR'!I38</f>
        <v>21329.7</v>
      </c>
      <c r="Q38" s="132">
        <f t="shared" ref="Q38:W39" si="14">C38/J38*100</f>
        <v>23.583506051322701</v>
      </c>
      <c r="R38" s="132">
        <f t="shared" si="14"/>
        <v>31.405008707458581</v>
      </c>
      <c r="S38" s="132">
        <f t="shared" si="14"/>
        <v>33.56959597338458</v>
      </c>
      <c r="T38" s="132">
        <f t="shared" si="14"/>
        <v>29.078088698566884</v>
      </c>
      <c r="U38" s="132">
        <f t="shared" si="14"/>
        <v>25.153114117865972</v>
      </c>
      <c r="V38" s="132">
        <f t="shared" si="14"/>
        <v>23.94248750314669</v>
      </c>
      <c r="W38" s="132">
        <f t="shared" si="14"/>
        <v>23.568357735926902</v>
      </c>
    </row>
    <row r="39" spans="1:23" ht="23.25" customHeight="1">
      <c r="A39" s="3">
        <v>30</v>
      </c>
      <c r="B39" s="6" t="s">
        <v>44</v>
      </c>
      <c r="C39" s="132">
        <f ca="1">+'Salaries (% Plan Expenditure)'!C39</f>
        <v>445</v>
      </c>
      <c r="D39" s="132">
        <f ca="1">+'Salaries (% Plan Expenditure)'!D39</f>
        <v>688</v>
      </c>
      <c r="E39" s="132">
        <f ca="1">+'Salaries (% Plan Expenditure)'!E39</f>
        <v>868</v>
      </c>
      <c r="F39" s="132">
        <f ca="1">+'Salaries (% Plan Expenditure)'!F39</f>
        <v>1011</v>
      </c>
      <c r="G39" s="132">
        <f ca="1">+'Salaries (% Plan Expenditure)'!G39</f>
        <v>948.04</v>
      </c>
      <c r="H39" s="132">
        <f ca="1">+'Salaries (% Plan Expenditure)'!H39</f>
        <v>969.08</v>
      </c>
      <c r="I39" s="132">
        <f ca="1">+'Salaries (% Plan Expenditure)'!I39</f>
        <v>1215.98</v>
      </c>
      <c r="J39" s="64">
        <f ca="1">+'Worksheet Pension &amp; RE'!J39-'Worksheet Pension &amp; RE'!C39-'IP as % of TRR'!C39</f>
        <v>1894</v>
      </c>
      <c r="K39" s="64">
        <f ca="1">+'Worksheet Pension &amp; RE'!K39-'Worksheet Pension &amp; RE'!D39-'IP as % of TRR'!D39</f>
        <v>2144</v>
      </c>
      <c r="L39" s="64">
        <f ca="1">+'Worksheet Pension &amp; RE'!L39-'Worksheet Pension &amp; RE'!E39-'IP as % of TRR'!E39</f>
        <v>2507</v>
      </c>
      <c r="M39" s="64">
        <f ca="1">+'Worksheet Pension &amp; RE'!M39-'Worksheet Pension &amp; RE'!F39-'IP as % of TRR'!F39</f>
        <v>2945</v>
      </c>
      <c r="N39" s="64">
        <f ca="1">+'Worksheet Pension &amp; RE'!N39-'Worksheet Pension &amp; RE'!G39-'IP as % of TRR'!G39</f>
        <v>2535.86</v>
      </c>
      <c r="O39" s="64">
        <f ca="1">+'Worksheet Pension &amp; RE'!O39-'Worksheet Pension &amp; RE'!H39-'IP as % of TRR'!H39</f>
        <v>2218.6499999999996</v>
      </c>
      <c r="P39" s="64">
        <f ca="1">+'Worksheet Pension &amp; RE'!P39-'Worksheet Pension &amp; RE'!I39-'IP as % of TRR'!I39</f>
        <v>2465</v>
      </c>
      <c r="Q39" s="132">
        <f t="shared" si="14"/>
        <v>23.495248152059133</v>
      </c>
      <c r="R39" s="132">
        <f t="shared" si="14"/>
        <v>32.089552238805972</v>
      </c>
      <c r="S39" s="132">
        <f t="shared" si="14"/>
        <v>34.623055444754684</v>
      </c>
      <c r="T39" s="132">
        <f t="shared" si="14"/>
        <v>34.329371816638371</v>
      </c>
      <c r="U39" s="132">
        <f t="shared" si="14"/>
        <v>37.385344616816383</v>
      </c>
      <c r="V39" s="132">
        <f t="shared" si="14"/>
        <v>43.678813693011527</v>
      </c>
      <c r="W39" s="132">
        <f t="shared" si="14"/>
        <v>49.329817444219067</v>
      </c>
    </row>
    <row r="40" spans="1:23" s="67" customFormat="1" ht="23.25" customHeight="1">
      <c r="A40" s="4"/>
      <c r="B40" s="4" t="s">
        <v>64</v>
      </c>
      <c r="C40" s="133">
        <f t="shared" ref="C40:K40" si="15">SUM(C38:C39)</f>
        <v>2158.62</v>
      </c>
      <c r="D40" s="133">
        <f t="shared" si="15"/>
        <v>3593.18</v>
      </c>
      <c r="E40" s="133">
        <f>SUM(E38:E39)</f>
        <v>4704.32</v>
      </c>
      <c r="F40" s="133">
        <f>SUM(F38:F39)</f>
        <v>4442.8600000000006</v>
      </c>
      <c r="G40" s="133">
        <f>SUM(G38:G39)</f>
        <v>4732.9799999999996</v>
      </c>
      <c r="H40" s="133">
        <f>SUM(H38:H39)</f>
        <v>5230</v>
      </c>
      <c r="I40" s="133">
        <f>SUM(I38:I39)</f>
        <v>6243.0400000000009</v>
      </c>
      <c r="J40" s="65">
        <f t="shared" si="15"/>
        <v>9160.18</v>
      </c>
      <c r="K40" s="65">
        <f t="shared" si="15"/>
        <v>11394.689999999999</v>
      </c>
      <c r="L40" s="65">
        <f>SUM(L38:L39)</f>
        <v>13934.96</v>
      </c>
      <c r="M40" s="65">
        <f>SUM(M38:M39)</f>
        <v>14747.22</v>
      </c>
      <c r="N40" s="65">
        <f>SUM(N38:N39)</f>
        <v>17583.46</v>
      </c>
      <c r="O40" s="65">
        <f>SUM(O38:O39)</f>
        <v>20015.129999999997</v>
      </c>
      <c r="P40" s="65">
        <f>SUM(P38:P39)</f>
        <v>23794.7</v>
      </c>
      <c r="Q40" s="133">
        <f t="shared" ref="Q40:W40" si="16">C40/J40*100</f>
        <v>23.565257451272789</v>
      </c>
      <c r="R40" s="133">
        <f t="shared" si="16"/>
        <v>31.533810924211192</v>
      </c>
      <c r="S40" s="133">
        <f t="shared" si="16"/>
        <v>33.759120944731812</v>
      </c>
      <c r="T40" s="133">
        <f t="shared" si="16"/>
        <v>30.126762874629936</v>
      </c>
      <c r="U40" s="133">
        <f t="shared" si="16"/>
        <v>26.91722789485118</v>
      </c>
      <c r="V40" s="133">
        <f t="shared" si="16"/>
        <v>26.130232479129539</v>
      </c>
      <c r="W40" s="133">
        <f t="shared" si="16"/>
        <v>26.237103220465062</v>
      </c>
    </row>
    <row r="41" spans="1:23" ht="23.25" customHeight="1">
      <c r="A41" s="6"/>
      <c r="B41" s="6"/>
      <c r="C41" s="132"/>
      <c r="D41" s="132"/>
      <c r="E41" s="132"/>
      <c r="F41" s="132"/>
      <c r="G41" s="132"/>
      <c r="H41" s="132"/>
      <c r="I41" s="132"/>
      <c r="J41" s="64"/>
      <c r="K41" s="64"/>
      <c r="L41" s="64"/>
      <c r="M41" s="64"/>
      <c r="N41" s="64"/>
      <c r="O41" s="64"/>
      <c r="P41" s="64"/>
      <c r="Q41" s="132"/>
      <c r="R41" s="132"/>
      <c r="S41" s="132"/>
      <c r="T41" s="132"/>
      <c r="U41" s="132"/>
      <c r="V41" s="132"/>
      <c r="W41" s="132"/>
    </row>
    <row r="42" spans="1:23" s="67" customFormat="1" ht="23.25" customHeight="1">
      <c r="A42" s="4"/>
      <c r="B42" s="4" t="s">
        <v>65</v>
      </c>
      <c r="C42" s="133">
        <f t="shared" ref="C42:K42" si="17">+C17+C36+C40</f>
        <v>166685.41</v>
      </c>
      <c r="D42" s="133">
        <f t="shared" si="17"/>
        <v>188501.43</v>
      </c>
      <c r="E42" s="133">
        <f>+E17+E36+E40</f>
        <v>242532.41000000003</v>
      </c>
      <c r="F42" s="133">
        <f>+F17+F36+F40</f>
        <v>291411.45</v>
      </c>
      <c r="G42" s="133">
        <f>+G17+G36+G40</f>
        <v>316671.18099999992</v>
      </c>
      <c r="H42" s="133">
        <f>+H17+H36+H40</f>
        <v>356477.39</v>
      </c>
      <c r="I42" s="133">
        <f>+I17+I36+I40</f>
        <v>428467.43</v>
      </c>
      <c r="J42" s="65">
        <f t="shared" si="17"/>
        <v>428819.27</v>
      </c>
      <c r="K42" s="65">
        <f t="shared" si="17"/>
        <v>517821.39</v>
      </c>
      <c r="L42" s="65">
        <f>+L17+L36+L40</f>
        <v>607584.36</v>
      </c>
      <c r="M42" s="65">
        <f>+M17+M36+M40</f>
        <v>711470.89999999991</v>
      </c>
      <c r="N42" s="65">
        <f>+N17+N36+N40</f>
        <v>825655.99999999988</v>
      </c>
      <c r="O42" s="65">
        <f>+O17+O36+O40</f>
        <v>958525.36</v>
      </c>
      <c r="P42" s="65">
        <f>+P17+P36+P40</f>
        <v>1152257.3999999999</v>
      </c>
      <c r="Q42" s="133">
        <f t="shared" ref="Q42:W42" si="18">C42/J42*100</f>
        <v>38.870783488811036</v>
      </c>
      <c r="R42" s="133">
        <f t="shared" si="18"/>
        <v>36.402789386510278</v>
      </c>
      <c r="S42" s="133">
        <f t="shared" si="18"/>
        <v>39.917487342827599</v>
      </c>
      <c r="T42" s="133">
        <f t="shared" si="18"/>
        <v>40.959011816224674</v>
      </c>
      <c r="U42" s="133">
        <f t="shared" si="18"/>
        <v>38.353888423265857</v>
      </c>
      <c r="V42" s="133">
        <f t="shared" si="18"/>
        <v>37.190188687339479</v>
      </c>
      <c r="W42" s="133">
        <f t="shared" si="18"/>
        <v>37.185044765171391</v>
      </c>
    </row>
    <row r="43" spans="1:23" ht="23.25" customHeight="1">
      <c r="B43" s="628" t="s">
        <v>187</v>
      </c>
      <c r="C43" s="628"/>
      <c r="D43" s="628"/>
      <c r="E43" s="628"/>
      <c r="F43" s="628"/>
      <c r="G43" s="628"/>
      <c r="H43" s="628"/>
      <c r="I43" s="628"/>
      <c r="J43" s="628"/>
      <c r="K43" s="120"/>
      <c r="L43" s="120"/>
      <c r="M43" s="120"/>
      <c r="N43" s="120"/>
      <c r="O43" s="120"/>
      <c r="P43" s="120"/>
    </row>
    <row r="46" spans="1:23">
      <c r="J46" s="120"/>
    </row>
    <row r="47" spans="1:23">
      <c r="L47" s="120"/>
    </row>
  </sheetData>
  <mergeCells count="7">
    <mergeCell ref="B43:J43"/>
    <mergeCell ref="A1:R1"/>
    <mergeCell ref="A2:A3"/>
    <mergeCell ref="B2:B3"/>
    <mergeCell ref="C2:I2"/>
    <mergeCell ref="J2:P2"/>
    <mergeCell ref="Q2:W2"/>
  </mergeCells>
  <phoneticPr fontId="42" type="noConversion"/>
  <printOptions horizontalCentered="1"/>
  <pageMargins left="0.35433070866141736" right="0.35433070866141736" top="0.78740157480314965" bottom="0.39370078740157483" header="0" footer="0"/>
  <pageSetup paperSize="9" scale="48" orientation="landscape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W44"/>
  <sheetViews>
    <sheetView zoomScaleNormal="100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B5" sqref="B5"/>
    </sheetView>
  </sheetViews>
  <sheetFormatPr defaultRowHeight="12.75"/>
  <cols>
    <col min="1" max="1" width="5.42578125" style="27" customWidth="1"/>
    <col min="2" max="2" width="35.28515625" style="27" customWidth="1"/>
    <col min="3" max="3" width="11.85546875" style="23" customWidth="1"/>
    <col min="4" max="8" width="11.28515625" style="23" bestFit="1" customWidth="1"/>
    <col min="9" max="9" width="11.28515625" style="23" customWidth="1"/>
    <col min="10" max="12" width="12" style="23" customWidth="1"/>
    <col min="13" max="15" width="12.5703125" style="23" bestFit="1" customWidth="1"/>
    <col min="16" max="16" width="12.28515625" style="23" customWidth="1"/>
    <col min="17" max="17" width="12.28515625" style="27" customWidth="1"/>
    <col min="18" max="18" width="11.140625" style="27" customWidth="1"/>
    <col min="19" max="21" width="11" style="27" customWidth="1"/>
    <col min="22" max="22" width="11.42578125" style="27" customWidth="1"/>
    <col min="23" max="16384" width="9.140625" style="27"/>
  </cols>
  <sheetData>
    <row r="1" spans="1:23" ht="25.5" customHeight="1">
      <c r="A1" s="606" t="s">
        <v>101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7"/>
      <c r="Q1" s="607"/>
      <c r="R1" s="607"/>
      <c r="S1" s="607"/>
      <c r="T1" s="68"/>
      <c r="U1" s="68"/>
    </row>
    <row r="2" spans="1:23" ht="32.25" customHeight="1">
      <c r="A2" s="648" t="s">
        <v>47</v>
      </c>
      <c r="B2" s="651" t="s">
        <v>1</v>
      </c>
      <c r="C2" s="638" t="s">
        <v>135</v>
      </c>
      <c r="D2" s="639"/>
      <c r="E2" s="639"/>
      <c r="F2" s="639"/>
      <c r="G2" s="639"/>
      <c r="H2" s="639"/>
      <c r="I2" s="640"/>
      <c r="J2" s="611" t="s">
        <v>134</v>
      </c>
      <c r="K2" s="612"/>
      <c r="L2" s="612"/>
      <c r="M2" s="612"/>
      <c r="N2" s="612"/>
      <c r="O2" s="612"/>
      <c r="P2" s="613"/>
      <c r="Q2" s="614" t="s">
        <v>128</v>
      </c>
      <c r="R2" s="614"/>
      <c r="S2" s="614"/>
      <c r="T2" s="614"/>
      <c r="U2" s="614"/>
      <c r="V2" s="614"/>
      <c r="W2" s="614"/>
    </row>
    <row r="3" spans="1:23" ht="21.75" customHeight="1">
      <c r="A3" s="649"/>
      <c r="B3" s="652"/>
      <c r="C3" s="123" t="s">
        <v>3</v>
      </c>
      <c r="D3" s="123" t="s">
        <v>4</v>
      </c>
      <c r="E3" s="123" t="s">
        <v>5</v>
      </c>
      <c r="F3" s="123" t="s">
        <v>6</v>
      </c>
      <c r="G3" s="123" t="s">
        <v>7</v>
      </c>
      <c r="H3" s="123" t="s">
        <v>122</v>
      </c>
      <c r="I3" s="123" t="s">
        <v>139</v>
      </c>
      <c r="J3" s="1" t="s">
        <v>3</v>
      </c>
      <c r="K3" s="1" t="s">
        <v>4</v>
      </c>
      <c r="L3" s="1" t="s">
        <v>5</v>
      </c>
      <c r="M3" s="1" t="s">
        <v>6</v>
      </c>
      <c r="N3" s="1" t="s">
        <v>7</v>
      </c>
      <c r="O3" s="1" t="s">
        <v>122</v>
      </c>
      <c r="P3" s="1" t="s">
        <v>139</v>
      </c>
      <c r="Q3" s="123" t="s">
        <v>3</v>
      </c>
      <c r="R3" s="123" t="s">
        <v>4</v>
      </c>
      <c r="S3" s="123" t="s">
        <v>5</v>
      </c>
      <c r="T3" s="123" t="s">
        <v>6</v>
      </c>
      <c r="U3" s="123" t="s">
        <v>7</v>
      </c>
      <c r="V3" s="123" t="s">
        <v>122</v>
      </c>
      <c r="W3" s="123" t="s">
        <v>139</v>
      </c>
    </row>
    <row r="4" spans="1:23" s="67" customFormat="1" ht="18" customHeight="1">
      <c r="A4" s="650"/>
      <c r="B4" s="122">
        <v>41834</v>
      </c>
      <c r="C4" s="123" t="s">
        <v>8</v>
      </c>
      <c r="D4" s="123" t="s">
        <v>8</v>
      </c>
      <c r="E4" s="123" t="s">
        <v>8</v>
      </c>
      <c r="F4" s="123" t="s">
        <v>8</v>
      </c>
      <c r="G4" s="123" t="s">
        <v>8</v>
      </c>
      <c r="H4" s="123" t="s">
        <v>50</v>
      </c>
      <c r="I4" s="123" t="s">
        <v>10</v>
      </c>
      <c r="J4" s="1" t="s">
        <v>8</v>
      </c>
      <c r="K4" s="1" t="s">
        <v>8</v>
      </c>
      <c r="L4" s="1" t="s">
        <v>8</v>
      </c>
      <c r="M4" s="1" t="s">
        <v>8</v>
      </c>
      <c r="N4" s="1" t="s">
        <v>8</v>
      </c>
      <c r="O4" s="1" t="s">
        <v>50</v>
      </c>
      <c r="P4" s="1" t="s">
        <v>10</v>
      </c>
      <c r="Q4" s="123" t="s">
        <v>8</v>
      </c>
      <c r="R4" s="123" t="s">
        <v>8</v>
      </c>
      <c r="S4" s="123" t="s">
        <v>8</v>
      </c>
      <c r="T4" s="123" t="s">
        <v>8</v>
      </c>
      <c r="U4" s="123" t="s">
        <v>8</v>
      </c>
      <c r="V4" s="123" t="s">
        <v>50</v>
      </c>
      <c r="W4" s="123" t="s">
        <v>10</v>
      </c>
    </row>
    <row r="5" spans="1:23" ht="15.75" customHeight="1">
      <c r="A5" s="6"/>
      <c r="B5" s="4" t="s">
        <v>11</v>
      </c>
      <c r="C5" s="124"/>
      <c r="D5" s="124"/>
      <c r="E5" s="124"/>
      <c r="F5" s="124"/>
      <c r="G5" s="124"/>
      <c r="H5" s="124"/>
      <c r="I5" s="124"/>
      <c r="J5" s="5"/>
      <c r="K5" s="5"/>
      <c r="L5" s="5"/>
      <c r="M5" s="5"/>
      <c r="N5" s="5"/>
      <c r="O5" s="5"/>
      <c r="P5" s="5"/>
      <c r="Q5" s="125"/>
      <c r="R5" s="125"/>
      <c r="S5" s="125"/>
      <c r="T5" s="125"/>
      <c r="U5" s="125"/>
      <c r="V5" s="140"/>
      <c r="W5" s="140"/>
    </row>
    <row r="6" spans="1:23" ht="15.75" customHeight="1">
      <c r="A6" s="3">
        <v>1</v>
      </c>
      <c r="B6" s="6" t="s">
        <v>51</v>
      </c>
      <c r="C6" s="132">
        <f ca="1">+'Salaries (% Revenue Exp)'!C6</f>
        <v>415.9</v>
      </c>
      <c r="D6" s="132">
        <f ca="1">+'Salaries (% Revenue Exp)'!D6</f>
        <v>842.67</v>
      </c>
      <c r="E6" s="132">
        <f ca="1">+'Salaries (% Revenue Exp)'!E6</f>
        <v>1462.47</v>
      </c>
      <c r="F6" s="132">
        <f ca="1">+'Salaries (% Revenue Exp)'!F6</f>
        <v>1395.47</v>
      </c>
      <c r="G6" s="132">
        <f ca="1">+'Salaries (% Revenue Exp)'!G6</f>
        <v>1995.94</v>
      </c>
      <c r="H6" s="132">
        <f ca="1">+'Salaries (% Revenue Exp)'!H6</f>
        <v>1759.12</v>
      </c>
      <c r="I6" s="132">
        <f ca="1">+'Salaries (% Revenue Exp)'!I6</f>
        <v>2235.1999999999998</v>
      </c>
      <c r="J6" s="9">
        <v>3185.28</v>
      </c>
      <c r="K6" s="9">
        <v>4341.41</v>
      </c>
      <c r="L6" s="9">
        <v>4931.3500000000004</v>
      </c>
      <c r="M6" s="9">
        <v>5399.74</v>
      </c>
      <c r="N6" s="9">
        <v>6458.23</v>
      </c>
      <c r="O6" s="9">
        <v>5998.18</v>
      </c>
      <c r="P6" s="9">
        <v>8016.17</v>
      </c>
      <c r="Q6" s="132">
        <f t="shared" ref="Q6:Q17" si="0">+C6/J6*100</f>
        <v>13.05693690978501</v>
      </c>
      <c r="R6" s="132">
        <f t="shared" ref="R6:R17" si="1">+D6/K6*100</f>
        <v>19.410053415825736</v>
      </c>
      <c r="S6" s="132">
        <f t="shared" ref="S6:S17" si="2">+E6/L6*100</f>
        <v>29.656584910825636</v>
      </c>
      <c r="T6" s="132">
        <f>+F6/M6*100</f>
        <v>25.843281343175782</v>
      </c>
      <c r="U6" s="132">
        <f>+G6/N6*100</f>
        <v>30.90537190530533</v>
      </c>
      <c r="V6" s="132">
        <f>+H6/O6*100</f>
        <v>29.327562694017185</v>
      </c>
      <c r="W6" s="132">
        <f>+I6/P6*100</f>
        <v>27.883640192261389</v>
      </c>
    </row>
    <row r="7" spans="1:23" ht="15.75" customHeight="1">
      <c r="A7" s="3">
        <v>2</v>
      </c>
      <c r="B7" s="6" t="s">
        <v>13</v>
      </c>
      <c r="C7" s="132">
        <f ca="1">+'Salaries (% Revenue Exp)'!C7</f>
        <v>5766.86</v>
      </c>
      <c r="D7" s="132">
        <f ca="1">+'Salaries (% Revenue Exp)'!D7</f>
        <v>5415.29</v>
      </c>
      <c r="E7" s="132">
        <f ca="1">+'Salaries (% Revenue Exp)'!E7</f>
        <v>6466.32</v>
      </c>
      <c r="F7" s="132">
        <f ca="1">+'Salaries (% Revenue Exp)'!F7</f>
        <v>11590.62</v>
      </c>
      <c r="G7" s="132">
        <f ca="1">+'Salaries (% Revenue Exp)'!G7</f>
        <v>9277.6200000000008</v>
      </c>
      <c r="H7" s="132">
        <f ca="1">+'Salaries (% Revenue Exp)'!H7</f>
        <v>11988.56</v>
      </c>
      <c r="I7" s="132">
        <f ca="1">+'Salaries (% Revenue Exp)'!I7</f>
        <v>12825.06</v>
      </c>
      <c r="J7" s="9">
        <v>14575.2</v>
      </c>
      <c r="K7" s="9">
        <v>16722.82</v>
      </c>
      <c r="L7" s="9">
        <v>20565.72</v>
      </c>
      <c r="M7" s="9">
        <v>29259.66</v>
      </c>
      <c r="N7" s="9">
        <v>29792.86</v>
      </c>
      <c r="O7" s="9">
        <v>33637.61</v>
      </c>
      <c r="P7" s="9">
        <v>40936.720000000001</v>
      </c>
      <c r="Q7" s="132">
        <f t="shared" si="0"/>
        <v>39.566249519732146</v>
      </c>
      <c r="R7" s="132">
        <f t="shared" si="1"/>
        <v>32.382636421369121</v>
      </c>
      <c r="S7" s="132">
        <f t="shared" si="2"/>
        <v>31.442225217497853</v>
      </c>
      <c r="T7" s="132">
        <f t="shared" ref="T7:T16" si="3">+F7/M7*100</f>
        <v>39.612968845160886</v>
      </c>
      <c r="U7" s="132">
        <f t="shared" ref="U7:U16" si="4">+G7/N7*100</f>
        <v>31.140414179773281</v>
      </c>
      <c r="V7" s="132">
        <f t="shared" ref="V7:W16" si="5">+H7/O7*100</f>
        <v>35.640344245622678</v>
      </c>
      <c r="W7" s="132">
        <f t="shared" si="5"/>
        <v>31.328987764530229</v>
      </c>
    </row>
    <row r="8" spans="1:23" ht="15.75" customHeight="1">
      <c r="A8" s="3">
        <v>3</v>
      </c>
      <c r="B8" s="6" t="s">
        <v>14</v>
      </c>
      <c r="C8" s="132">
        <f ca="1">+'Salaries (% Revenue Exp)'!C8</f>
        <v>3014.87</v>
      </c>
      <c r="D8" s="132">
        <f ca="1">+'Salaries (% Revenue Exp)'!D8</f>
        <v>3314.89</v>
      </c>
      <c r="E8" s="132">
        <f ca="1">+'Salaries (% Revenue Exp)'!E8</f>
        <v>3973.0299999999997</v>
      </c>
      <c r="F8" s="132">
        <f ca="1">+'Salaries (% Revenue Exp)'!F8</f>
        <v>5166.3899999999994</v>
      </c>
      <c r="G8" s="132">
        <f ca="1">+'Salaries (% Revenue Exp)'!G8</f>
        <v>5305.51</v>
      </c>
      <c r="H8" s="132">
        <f ca="1">+'Salaries (% Revenue Exp)'!H8</f>
        <v>6129.73</v>
      </c>
      <c r="I8" s="132">
        <f ca="1">+'Salaries (% Revenue Exp)'!I8</f>
        <v>6956.42</v>
      </c>
      <c r="J8" s="9">
        <v>9719.19</v>
      </c>
      <c r="K8" s="9">
        <v>11606.81</v>
      </c>
      <c r="L8" s="9">
        <v>13164.12</v>
      </c>
      <c r="M8" s="9">
        <v>15961.6</v>
      </c>
      <c r="N8" s="9">
        <v>16200.78</v>
      </c>
      <c r="O8" s="9">
        <v>18597.63</v>
      </c>
      <c r="P8" s="9">
        <v>20408.990000000002</v>
      </c>
      <c r="Q8" s="132">
        <f t="shared" si="0"/>
        <v>31.019766050463048</v>
      </c>
      <c r="R8" s="132">
        <f t="shared" si="1"/>
        <v>28.55987131692515</v>
      </c>
      <c r="S8" s="132">
        <f t="shared" si="2"/>
        <v>30.180748884087954</v>
      </c>
      <c r="T8" s="132">
        <f t="shared" si="3"/>
        <v>32.367619787489971</v>
      </c>
      <c r="U8" s="132">
        <f t="shared" si="4"/>
        <v>32.748484949490084</v>
      </c>
      <c r="V8" s="132">
        <f t="shared" si="5"/>
        <v>32.95973734287648</v>
      </c>
      <c r="W8" s="132">
        <f t="shared" si="5"/>
        <v>34.085077213522084</v>
      </c>
    </row>
    <row r="9" spans="1:23" ht="15.75" customHeight="1">
      <c r="A9" s="3">
        <v>4</v>
      </c>
      <c r="B9" s="6" t="s">
        <v>52</v>
      </c>
      <c r="C9" s="132">
        <f ca="1">+'Salaries (% Revenue Exp)'!C9</f>
        <v>4475</v>
      </c>
      <c r="D9" s="132">
        <f ca="1">+'Salaries (% Revenue Exp)'!D9</f>
        <v>5077.78</v>
      </c>
      <c r="E9" s="132">
        <f ca="1">+'Salaries (% Revenue Exp)'!E9</f>
        <v>6022.81</v>
      </c>
      <c r="F9" s="132">
        <f ca="1">+'Salaries (% Revenue Exp)'!F9</f>
        <v>7722</v>
      </c>
      <c r="G9" s="132">
        <f ca="1">+'Salaries (% Revenue Exp)'!G9</f>
        <v>9904.25</v>
      </c>
      <c r="H9" s="132">
        <f ca="1">+'Salaries (% Revenue Exp)'!H9</f>
        <v>10701</v>
      </c>
      <c r="I9" s="132">
        <f ca="1">+'Salaries (% Revenue Exp)'!I9</f>
        <v>13811</v>
      </c>
      <c r="J9" s="9">
        <v>15906.32</v>
      </c>
      <c r="K9" s="9">
        <v>17011.68</v>
      </c>
      <c r="L9" s="9">
        <v>21606.78</v>
      </c>
      <c r="M9" s="9">
        <v>24601.98</v>
      </c>
      <c r="N9" s="9">
        <v>28644.92</v>
      </c>
      <c r="O9" s="9">
        <v>30434.65</v>
      </c>
      <c r="P9" s="9">
        <v>36500</v>
      </c>
      <c r="Q9" s="132">
        <f t="shared" si="0"/>
        <v>28.133471475488985</v>
      </c>
      <c r="R9" s="132">
        <f t="shared" si="1"/>
        <v>29.848786245685314</v>
      </c>
      <c r="S9" s="132">
        <f t="shared" si="2"/>
        <v>27.874630092961567</v>
      </c>
      <c r="T9" s="132">
        <f t="shared" si="3"/>
        <v>31.387717573951367</v>
      </c>
      <c r="U9" s="132">
        <f t="shared" si="4"/>
        <v>34.575938770295053</v>
      </c>
      <c r="V9" s="132">
        <f t="shared" si="5"/>
        <v>35.160581771106287</v>
      </c>
      <c r="W9" s="132">
        <f t="shared" si="5"/>
        <v>37.838356164383562</v>
      </c>
    </row>
    <row r="10" spans="1:23" ht="15.75" customHeight="1">
      <c r="A10" s="3">
        <v>5</v>
      </c>
      <c r="B10" s="6" t="s">
        <v>16</v>
      </c>
      <c r="C10" s="132">
        <f ca="1">+'Salaries (% Revenue Exp)'!C10</f>
        <v>890.17</v>
      </c>
      <c r="D10" s="132">
        <f ca="1">+'Salaries (% Revenue Exp)'!D10</f>
        <v>1063.32</v>
      </c>
      <c r="E10" s="132">
        <f ca="1">+'Salaries (% Revenue Exp)'!E10</f>
        <v>1148.8900000000001</v>
      </c>
      <c r="F10" s="132">
        <f ca="1">+'Salaries (% Revenue Exp)'!F10</f>
        <v>1673.1499999999999</v>
      </c>
      <c r="G10" s="132">
        <f ca="1">+'Salaries (% Revenue Exp)'!G10</f>
        <v>2210.1</v>
      </c>
      <c r="H10" s="132">
        <f ca="1">+'Salaries (% Revenue Exp)'!H10</f>
        <v>2350.12</v>
      </c>
      <c r="I10" s="132">
        <f ca="1">+'Salaries (% Revenue Exp)'!I10</f>
        <v>2627.33</v>
      </c>
      <c r="J10" s="9">
        <v>3408.4</v>
      </c>
      <c r="K10" s="9">
        <v>4090.16</v>
      </c>
      <c r="L10" s="9">
        <v>4609.07</v>
      </c>
      <c r="M10" s="9">
        <v>5999.86</v>
      </c>
      <c r="N10" s="9">
        <v>6702.4</v>
      </c>
      <c r="O10" s="9">
        <v>6821.4</v>
      </c>
      <c r="P10" s="9">
        <v>9224.1</v>
      </c>
      <c r="Q10" s="132">
        <f t="shared" si="0"/>
        <v>26.116946367797205</v>
      </c>
      <c r="R10" s="132">
        <f t="shared" si="1"/>
        <v>25.997027011168267</v>
      </c>
      <c r="S10" s="132">
        <f t="shared" si="2"/>
        <v>24.926720574866518</v>
      </c>
      <c r="T10" s="132">
        <f t="shared" si="3"/>
        <v>27.886484017960417</v>
      </c>
      <c r="U10" s="132">
        <f t="shared" si="4"/>
        <v>32.974755311530195</v>
      </c>
      <c r="V10" s="132">
        <f t="shared" si="5"/>
        <v>34.452165244671185</v>
      </c>
      <c r="W10" s="132">
        <f t="shared" si="5"/>
        <v>28.483320865992347</v>
      </c>
    </row>
    <row r="11" spans="1:23" ht="15.75" customHeight="1">
      <c r="A11" s="3">
        <v>6</v>
      </c>
      <c r="B11" s="6" t="s">
        <v>17</v>
      </c>
      <c r="C11" s="132">
        <f ca="1">+'Salaries (% Revenue Exp)'!C11</f>
        <v>940.77</v>
      </c>
      <c r="D11" s="132">
        <f ca="1">+'Salaries (% Revenue Exp)'!D11</f>
        <v>1015.1899999999999</v>
      </c>
      <c r="E11" s="132">
        <f ca="1">+'Salaries (% Revenue Exp)'!E11</f>
        <v>1492.6599999999999</v>
      </c>
      <c r="F11" s="132">
        <f ca="1">+'Salaries (% Revenue Exp)'!F11</f>
        <v>1857.4699999999998</v>
      </c>
      <c r="G11" s="132">
        <f ca="1">+'Salaries (% Revenue Exp)'!G11</f>
        <v>2179.4299999999998</v>
      </c>
      <c r="H11" s="132">
        <f ca="1">+'Salaries (% Revenue Exp)'!H11</f>
        <v>2093.56</v>
      </c>
      <c r="I11" s="132">
        <f ca="1">+'Salaries (% Revenue Exp)'!I11</f>
        <v>1987.2400000000002</v>
      </c>
      <c r="J11" s="9">
        <v>2672.06</v>
      </c>
      <c r="K11" s="9">
        <v>3263.99</v>
      </c>
      <c r="L11" s="9">
        <v>3690.32</v>
      </c>
      <c r="M11" s="9">
        <v>4629.12</v>
      </c>
      <c r="N11" s="9">
        <v>5742.43</v>
      </c>
      <c r="O11" s="9">
        <v>5954.88</v>
      </c>
      <c r="P11" s="9">
        <v>9135.9</v>
      </c>
      <c r="Q11" s="132">
        <f t="shared" si="0"/>
        <v>35.207667492496427</v>
      </c>
      <c r="R11" s="132">
        <f t="shared" si="1"/>
        <v>31.102730094148573</v>
      </c>
      <c r="S11" s="132">
        <f t="shared" si="2"/>
        <v>40.447982830757219</v>
      </c>
      <c r="T11" s="132">
        <f t="shared" si="3"/>
        <v>40.125769044656437</v>
      </c>
      <c r="U11" s="132">
        <f t="shared" si="4"/>
        <v>37.953096511407189</v>
      </c>
      <c r="V11" s="132">
        <f t="shared" si="5"/>
        <v>35.15704766510828</v>
      </c>
      <c r="W11" s="132">
        <f t="shared" si="5"/>
        <v>21.751989404437442</v>
      </c>
    </row>
    <row r="12" spans="1:23" s="23" customFormat="1" ht="15.75" customHeight="1">
      <c r="A12" s="12">
        <v>7</v>
      </c>
      <c r="B12" s="13" t="s">
        <v>18</v>
      </c>
      <c r="C12" s="132">
        <f ca="1">+'Salaries (% Revenue Exp)'!C12</f>
        <v>597.84</v>
      </c>
      <c r="D12" s="132">
        <f ca="1">+'Salaries (% Revenue Exp)'!D12</f>
        <v>861.61999999999989</v>
      </c>
      <c r="E12" s="132">
        <f ca="1">+'Salaries (% Revenue Exp)'!E12</f>
        <v>998.27</v>
      </c>
      <c r="F12" s="132">
        <f ca="1">+'Salaries (% Revenue Exp)'!F12</f>
        <v>1304.3400000000001</v>
      </c>
      <c r="G12" s="132">
        <f ca="1">+'Salaries (% Revenue Exp)'!G12</f>
        <v>1411.3799999999999</v>
      </c>
      <c r="H12" s="132">
        <f ca="1">+'Salaries (% Revenue Exp)'!H12</f>
        <v>1651.21</v>
      </c>
      <c r="I12" s="132">
        <f ca="1">+'Salaries (% Revenue Exp)'!I12</f>
        <v>1959.39</v>
      </c>
      <c r="J12" s="9">
        <v>2339.2600000000002</v>
      </c>
      <c r="K12" s="9">
        <v>2752.83</v>
      </c>
      <c r="L12" s="9">
        <v>3333.08</v>
      </c>
      <c r="M12" s="9">
        <v>3975.9</v>
      </c>
      <c r="N12" s="9">
        <v>4367.1400000000003</v>
      </c>
      <c r="O12" s="9">
        <v>5146.71</v>
      </c>
      <c r="P12" s="9">
        <v>5753.55</v>
      </c>
      <c r="Q12" s="132">
        <f t="shared" si="0"/>
        <v>25.556800013679538</v>
      </c>
      <c r="R12" s="132">
        <f t="shared" si="1"/>
        <v>31.299426408459656</v>
      </c>
      <c r="S12" s="132">
        <f t="shared" si="2"/>
        <v>29.950376228593374</v>
      </c>
      <c r="T12" s="132">
        <f t="shared" si="3"/>
        <v>32.806157096506453</v>
      </c>
      <c r="U12" s="132">
        <f t="shared" si="4"/>
        <v>32.318176197694598</v>
      </c>
      <c r="V12" s="132">
        <f t="shared" si="5"/>
        <v>32.08282572750359</v>
      </c>
      <c r="W12" s="132">
        <f t="shared" si="5"/>
        <v>34.055322366191312</v>
      </c>
    </row>
    <row r="13" spans="1:23" s="23" customFormat="1" ht="15.75" customHeight="1">
      <c r="A13" s="12">
        <v>8</v>
      </c>
      <c r="B13" s="13" t="s">
        <v>19</v>
      </c>
      <c r="C13" s="132">
        <f ca="1">+'Salaries (% Revenue Exp)'!C13</f>
        <v>1123.47</v>
      </c>
      <c r="D13" s="132">
        <f ca="1">+'Salaries (% Revenue Exp)'!D13</f>
        <v>1254.32</v>
      </c>
      <c r="E13" s="132">
        <f ca="1">+'Salaries (% Revenue Exp)'!E13</f>
        <v>1493.87</v>
      </c>
      <c r="F13" s="132">
        <f ca="1">+'Salaries (% Revenue Exp)'!F13</f>
        <v>2036.36</v>
      </c>
      <c r="G13" s="132">
        <f ca="1">+'Salaries (% Revenue Exp)'!G13</f>
        <v>2339.19</v>
      </c>
      <c r="H13" s="132">
        <f ca="1">+'Salaries (% Revenue Exp)'!H13</f>
        <v>2590.7399999999998</v>
      </c>
      <c r="I13" s="132">
        <f ca="1">+'Salaries (% Revenue Exp)'!I13</f>
        <v>2821.72</v>
      </c>
      <c r="J13" s="9">
        <v>3483.16</v>
      </c>
      <c r="K13" s="9">
        <v>3846.57</v>
      </c>
      <c r="L13" s="9">
        <v>4520.13</v>
      </c>
      <c r="M13" s="9">
        <v>5577.66</v>
      </c>
      <c r="N13" s="9">
        <v>6477.62</v>
      </c>
      <c r="O13" s="9">
        <v>8057.2</v>
      </c>
      <c r="P13" s="9">
        <v>8071.45</v>
      </c>
      <c r="Q13" s="132">
        <f t="shared" si="0"/>
        <v>32.254332272993494</v>
      </c>
      <c r="R13" s="132">
        <f t="shared" si="1"/>
        <v>32.60879172873495</v>
      </c>
      <c r="S13" s="132">
        <f t="shared" si="2"/>
        <v>33.049270706815953</v>
      </c>
      <c r="T13" s="132">
        <f t="shared" si="3"/>
        <v>36.509217126895507</v>
      </c>
      <c r="U13" s="132">
        <f t="shared" si="4"/>
        <v>36.11187442301339</v>
      </c>
      <c r="V13" s="132">
        <f t="shared" si="5"/>
        <v>32.154346423075012</v>
      </c>
      <c r="W13" s="132">
        <f t="shared" si="5"/>
        <v>34.95927001963711</v>
      </c>
    </row>
    <row r="14" spans="1:23" ht="15.75" customHeight="1">
      <c r="A14" s="3">
        <v>9</v>
      </c>
      <c r="B14" s="6" t="s">
        <v>20</v>
      </c>
      <c r="C14" s="132">
        <f ca="1">+'Salaries (% Revenue Exp)'!C14</f>
        <v>492.90999999999997</v>
      </c>
      <c r="D14" s="132">
        <f ca="1">+'Salaries (% Revenue Exp)'!D14</f>
        <v>576.44000000000005</v>
      </c>
      <c r="E14" s="132">
        <f ca="1">+'Salaries (% Revenue Exp)'!E14</f>
        <v>968.76</v>
      </c>
      <c r="F14" s="132">
        <f ca="1">+'Salaries (% Revenue Exp)'!F14</f>
        <v>1095.79</v>
      </c>
      <c r="G14" s="132">
        <f ca="1">+'Salaries (% Revenue Exp)'!G14</f>
        <v>874.83999999999992</v>
      </c>
      <c r="H14" s="132">
        <f ca="1">+'Salaries (% Revenue Exp)'!H14</f>
        <v>971.01</v>
      </c>
      <c r="I14" s="132">
        <f ca="1">+'Salaries (% Revenue Exp)'!I14</f>
        <v>1097.3</v>
      </c>
      <c r="J14" s="9">
        <v>1562.34</v>
      </c>
      <c r="K14" s="9">
        <v>1992.58</v>
      </c>
      <c r="L14" s="9">
        <v>2514.5300000000002</v>
      </c>
      <c r="M14" s="9">
        <v>2468.73</v>
      </c>
      <c r="N14" s="9">
        <v>3094.54</v>
      </c>
      <c r="O14" s="9">
        <v>3354.84</v>
      </c>
      <c r="P14" s="9">
        <v>4572.7</v>
      </c>
      <c r="Q14" s="132">
        <f t="shared" si="0"/>
        <v>31.549470665796175</v>
      </c>
      <c r="R14" s="132">
        <f t="shared" si="1"/>
        <v>28.92932780616086</v>
      </c>
      <c r="S14" s="132">
        <f t="shared" si="2"/>
        <v>38.52648407455866</v>
      </c>
      <c r="T14" s="132">
        <f t="shared" si="3"/>
        <v>44.386789968931389</v>
      </c>
      <c r="U14" s="132">
        <f t="shared" si="4"/>
        <v>28.270437609466992</v>
      </c>
      <c r="V14" s="132">
        <f t="shared" si="5"/>
        <v>28.943556175555319</v>
      </c>
      <c r="W14" s="132">
        <f t="shared" si="5"/>
        <v>23.996763400179326</v>
      </c>
    </row>
    <row r="15" spans="1:23" ht="15.75" customHeight="1">
      <c r="A15" s="3">
        <v>10</v>
      </c>
      <c r="B15" s="6" t="s">
        <v>21</v>
      </c>
      <c r="C15" s="132">
        <f ca="1">+'Salaries (% Revenue Exp)'!C15</f>
        <v>1299.6500000000001</v>
      </c>
      <c r="D15" s="132">
        <f ca="1">+'Salaries (% Revenue Exp)'!D15</f>
        <v>1374.5900000000001</v>
      </c>
      <c r="E15" s="132">
        <f ca="1">+'Salaries (% Revenue Exp)'!E15</f>
        <v>2006.71</v>
      </c>
      <c r="F15" s="132">
        <f ca="1">+'Salaries (% Revenue Exp)'!F15</f>
        <v>2106.2199999999998</v>
      </c>
      <c r="G15" s="132">
        <f ca="1">+'Salaries (% Revenue Exp)'!G15</f>
        <v>2156.09</v>
      </c>
      <c r="H15" s="132">
        <f ca="1">+'Salaries (% Revenue Exp)'!H15</f>
        <v>2343.3000000000002</v>
      </c>
      <c r="I15" s="132">
        <f ca="1">+'Salaries (% Revenue Exp)'!I15</f>
        <v>3073.66</v>
      </c>
      <c r="J15" s="9">
        <v>3717.62</v>
      </c>
      <c r="K15" s="9">
        <v>4349.92</v>
      </c>
      <c r="L15" s="9">
        <v>5563.57</v>
      </c>
      <c r="M15" s="9">
        <v>5418.75</v>
      </c>
      <c r="N15" s="9">
        <v>6220.38</v>
      </c>
      <c r="O15" s="9">
        <v>6715</v>
      </c>
      <c r="P15" s="9">
        <v>9038.66</v>
      </c>
      <c r="Q15" s="132">
        <f t="shared" si="0"/>
        <v>34.959194323249825</v>
      </c>
      <c r="R15" s="132">
        <f t="shared" si="1"/>
        <v>31.600351270827971</v>
      </c>
      <c r="S15" s="132">
        <f t="shared" si="2"/>
        <v>36.068747225252849</v>
      </c>
      <c r="T15" s="132">
        <f t="shared" si="3"/>
        <v>38.869111880046134</v>
      </c>
      <c r="U15" s="132">
        <f t="shared" si="4"/>
        <v>34.661708770203752</v>
      </c>
      <c r="V15" s="132">
        <f t="shared" si="5"/>
        <v>34.896500372300821</v>
      </c>
      <c r="W15" s="132">
        <f t="shared" si="5"/>
        <v>34.005704385384561</v>
      </c>
    </row>
    <row r="16" spans="1:23" ht="15.75" customHeight="1">
      <c r="A16" s="3">
        <v>11</v>
      </c>
      <c r="B16" s="6" t="s">
        <v>22</v>
      </c>
      <c r="C16" s="132">
        <f ca="1">+'Salaries (% Revenue Exp)'!C16</f>
        <v>2302.2800000000002</v>
      </c>
      <c r="D16" s="132">
        <f ca="1">+'Salaries (% Revenue Exp)'!D16</f>
        <v>3349.91</v>
      </c>
      <c r="E16" s="132">
        <f ca="1">+'Salaries (% Revenue Exp)'!E16</f>
        <v>4811.21</v>
      </c>
      <c r="F16" s="132">
        <f ca="1">+'Salaries (% Revenue Exp)'!F16</f>
        <v>4966.1400000000003</v>
      </c>
      <c r="G16" s="132">
        <f ca="1">+'Salaries (% Revenue Exp)'!G16</f>
        <v>5511.88</v>
      </c>
      <c r="H16" s="132">
        <f ca="1">+'Salaries (% Revenue Exp)'!H16</f>
        <v>6046.37</v>
      </c>
      <c r="I16" s="132">
        <f ca="1">+'Salaries (% Revenue Exp)'!I16</f>
        <v>7404.18</v>
      </c>
      <c r="J16" s="9">
        <v>10486.56</v>
      </c>
      <c r="K16" s="9">
        <v>11564.65</v>
      </c>
      <c r="L16" s="9">
        <v>14196.96</v>
      </c>
      <c r="M16" s="9">
        <v>14715.85</v>
      </c>
      <c r="N16" s="9">
        <v>17463.52</v>
      </c>
      <c r="O16" s="9">
        <v>19262.25</v>
      </c>
      <c r="P16" s="9">
        <v>25329.84</v>
      </c>
      <c r="Q16" s="132">
        <f t="shared" si="0"/>
        <v>21.954578050380679</v>
      </c>
      <c r="R16" s="132">
        <f t="shared" si="1"/>
        <v>28.966808334017891</v>
      </c>
      <c r="S16" s="132">
        <f t="shared" si="2"/>
        <v>33.889015676595555</v>
      </c>
      <c r="T16" s="132">
        <f t="shared" si="3"/>
        <v>33.746878365843628</v>
      </c>
      <c r="U16" s="132">
        <f t="shared" si="4"/>
        <v>31.562250909324124</v>
      </c>
      <c r="V16" s="132">
        <f t="shared" si="5"/>
        <v>31.389738997261485</v>
      </c>
      <c r="W16" s="132">
        <f t="shared" si="5"/>
        <v>29.231057124719307</v>
      </c>
    </row>
    <row r="17" spans="1:23" s="67" customFormat="1" ht="15.75" customHeight="1">
      <c r="A17" s="4"/>
      <c r="B17" s="4" t="s">
        <v>23</v>
      </c>
      <c r="C17" s="133">
        <f t="shared" ref="C17:P17" si="6">SUM(C6:C16)</f>
        <v>21319.72</v>
      </c>
      <c r="D17" s="133">
        <f t="shared" si="6"/>
        <v>24146.019999999997</v>
      </c>
      <c r="E17" s="133">
        <f t="shared" si="6"/>
        <v>30844.999999999996</v>
      </c>
      <c r="F17" s="133">
        <f t="shared" si="6"/>
        <v>40913.950000000004</v>
      </c>
      <c r="G17" s="133">
        <f t="shared" si="6"/>
        <v>43166.229999999989</v>
      </c>
      <c r="H17" s="133">
        <f t="shared" si="6"/>
        <v>48624.72</v>
      </c>
      <c r="I17" s="133">
        <f ca="1">SUM(I6:I16)</f>
        <v>56798.500000000007</v>
      </c>
      <c r="J17" s="65">
        <f t="shared" si="6"/>
        <v>71055.39</v>
      </c>
      <c r="K17" s="65">
        <f t="shared" si="6"/>
        <v>81543.42</v>
      </c>
      <c r="L17" s="65">
        <f t="shared" si="6"/>
        <v>98695.63</v>
      </c>
      <c r="M17" s="65">
        <f t="shared" si="6"/>
        <v>118008.84999999999</v>
      </c>
      <c r="N17" s="65">
        <f t="shared" si="6"/>
        <v>131164.81999999998</v>
      </c>
      <c r="O17" s="65">
        <f t="shared" si="6"/>
        <v>143980.35</v>
      </c>
      <c r="P17" s="65">
        <f t="shared" si="6"/>
        <v>176988.08000000002</v>
      </c>
      <c r="Q17" s="133">
        <f t="shared" si="0"/>
        <v>30.004367015647937</v>
      </c>
      <c r="R17" s="133">
        <f t="shared" si="1"/>
        <v>29.611242697448791</v>
      </c>
      <c r="S17" s="133">
        <f t="shared" si="2"/>
        <v>31.252650193326691</v>
      </c>
      <c r="T17" s="133">
        <f>+F17/M17*100</f>
        <v>34.670238715147214</v>
      </c>
      <c r="U17" s="133">
        <f>+G17/N17*100</f>
        <v>32.909914411501497</v>
      </c>
      <c r="V17" s="133">
        <f>+H17/O17*100</f>
        <v>33.771775106811454</v>
      </c>
      <c r="W17" s="133">
        <f>+I17/P17*100</f>
        <v>32.091709226971673</v>
      </c>
    </row>
    <row r="18" spans="1:23" s="67" customFormat="1" ht="15.75" customHeight="1">
      <c r="A18" s="4"/>
      <c r="B18" s="4" t="s">
        <v>189</v>
      </c>
      <c r="C18" s="132"/>
      <c r="D18" s="132"/>
      <c r="E18" s="132"/>
      <c r="F18" s="132"/>
      <c r="G18" s="132"/>
      <c r="H18" s="132"/>
      <c r="I18" s="132"/>
      <c r="J18" s="9"/>
      <c r="K18" s="9"/>
      <c r="L18" s="9"/>
      <c r="M18" s="9"/>
      <c r="N18" s="9"/>
      <c r="O18" s="9"/>
      <c r="P18" s="9"/>
      <c r="Q18" s="132"/>
      <c r="R18" s="132"/>
      <c r="S18" s="132"/>
      <c r="T18" s="132"/>
      <c r="U18" s="132"/>
      <c r="V18" s="132"/>
      <c r="W18" s="132"/>
    </row>
    <row r="19" spans="1:23" ht="15.75" customHeight="1">
      <c r="A19" s="3">
        <v>12</v>
      </c>
      <c r="B19" s="6" t="s">
        <v>25</v>
      </c>
      <c r="C19" s="132">
        <f ca="1">+'Salaries (% Revenue Exp)'!C19</f>
        <v>13001.21</v>
      </c>
      <c r="D19" s="132">
        <f ca="1">+'Salaries (% Revenue Exp)'!D19</f>
        <v>14277.28</v>
      </c>
      <c r="E19" s="132">
        <f ca="1">+'Salaries (% Revenue Exp)'!E19</f>
        <v>17407.419999999998</v>
      </c>
      <c r="F19" s="132">
        <f ca="1">+'Salaries (% Revenue Exp)'!F19</f>
        <v>23439.870000000003</v>
      </c>
      <c r="G19" s="132">
        <f ca="1">+'Salaries (% Revenue Exp)'!G19</f>
        <v>26396.199999999997</v>
      </c>
      <c r="H19" s="132">
        <f ca="1">+'Salaries (% Revenue Exp)'!H19</f>
        <v>25771.46</v>
      </c>
      <c r="I19" s="132">
        <f ca="1">+'Salaries (% Revenue Exp)'!I19</f>
        <v>32116.719999999998</v>
      </c>
      <c r="J19" s="9">
        <v>69678.210000000006</v>
      </c>
      <c r="K19" s="9">
        <v>75634.05</v>
      </c>
      <c r="L19" s="9">
        <v>78830.81</v>
      </c>
      <c r="M19" s="9">
        <v>92972.36</v>
      </c>
      <c r="N19" s="9">
        <v>109120.55</v>
      </c>
      <c r="O19" s="9">
        <v>121764.09</v>
      </c>
      <c r="P19" s="9">
        <v>152722</v>
      </c>
      <c r="Q19" s="132">
        <f t="shared" ref="Q19:Q36" si="7">+C19/J19*100</f>
        <v>18.658932254430756</v>
      </c>
      <c r="R19" s="132">
        <f t="shared" ref="R19:R36" si="8">+D19/K19*100</f>
        <v>18.876788959469977</v>
      </c>
      <c r="S19" s="132">
        <f t="shared" ref="S19:S36" si="9">+E19/L19*100</f>
        <v>22.082000679683489</v>
      </c>
      <c r="T19" s="132">
        <f>+F19/M19*100</f>
        <v>25.211654302418484</v>
      </c>
      <c r="U19" s="132">
        <f>+G19/N19*100</f>
        <v>24.189944057283434</v>
      </c>
      <c r="V19" s="132">
        <f>+H19/O19*100</f>
        <v>21.165074202090288</v>
      </c>
      <c r="W19" s="132">
        <f>+I19/P19*100</f>
        <v>21.029530781419833</v>
      </c>
    </row>
    <row r="20" spans="1:23" ht="15.75" customHeight="1">
      <c r="A20" s="3">
        <v>13</v>
      </c>
      <c r="B20" s="6" t="s">
        <v>26</v>
      </c>
      <c r="C20" s="132">
        <f ca="1">+'Salaries (% Revenue Exp)'!C20</f>
        <v>6484.76</v>
      </c>
      <c r="D20" s="132">
        <f ca="1">+'Salaries (% Revenue Exp)'!D20</f>
        <v>7658.49</v>
      </c>
      <c r="E20" s="132">
        <f ca="1">+'Salaries (% Revenue Exp)'!E20</f>
        <v>9572.69</v>
      </c>
      <c r="F20" s="132">
        <f ca="1">+'Salaries (% Revenue Exp)'!F20</f>
        <v>10549.85</v>
      </c>
      <c r="G20" s="132">
        <f ca="1">+'Salaries (% Revenue Exp)'!G20</f>
        <v>12193.7</v>
      </c>
      <c r="H20" s="132">
        <f ca="1">+'Salaries (% Revenue Exp)'!H20</f>
        <v>13557.88</v>
      </c>
      <c r="I20" s="132">
        <f ca="1">+'Salaries (% Revenue Exp)'!I20</f>
        <v>17676.179999999997</v>
      </c>
      <c r="J20" s="9">
        <v>29939.34</v>
      </c>
      <c r="K20" s="9">
        <v>35498.980000000003</v>
      </c>
      <c r="L20" s="9">
        <v>40813.040000000001</v>
      </c>
      <c r="M20" s="9">
        <v>48514.49</v>
      </c>
      <c r="N20" s="9">
        <v>57257.57</v>
      </c>
      <c r="O20" s="9">
        <v>66136.62</v>
      </c>
      <c r="P20" s="9">
        <v>88849.2</v>
      </c>
      <c r="Q20" s="132">
        <f t="shared" si="7"/>
        <v>21.65966250425026</v>
      </c>
      <c r="R20" s="132">
        <f t="shared" si="8"/>
        <v>21.573831135429806</v>
      </c>
      <c r="S20" s="132">
        <f t="shared" si="9"/>
        <v>23.454979094916723</v>
      </c>
      <c r="T20" s="132">
        <f t="shared" ref="T20:T31" si="10">+F20/M20*100</f>
        <v>21.74577121185856</v>
      </c>
      <c r="U20" s="132">
        <f t="shared" ref="U20:U31" si="11">+G20/N20*100</f>
        <v>21.296223364002351</v>
      </c>
      <c r="V20" s="132">
        <f t="shared" ref="V20:W31" si="12">+H20/O20*100</f>
        <v>20.49980782205078</v>
      </c>
      <c r="W20" s="132">
        <f t="shared" si="12"/>
        <v>19.894585432395562</v>
      </c>
    </row>
    <row r="21" spans="1:23" ht="15.75" customHeight="1">
      <c r="A21" s="3">
        <v>14</v>
      </c>
      <c r="B21" s="6" t="s">
        <v>27</v>
      </c>
      <c r="C21" s="132">
        <f ca="1">+'Salaries (% Revenue Exp)'!C21</f>
        <v>2793.91</v>
      </c>
      <c r="D21" s="132">
        <f ca="1">+'Salaries (% Revenue Exp)'!D21</f>
        <v>3530.33</v>
      </c>
      <c r="E21" s="132">
        <f ca="1">+'Salaries (% Revenue Exp)'!E21</f>
        <v>4830.38</v>
      </c>
      <c r="F21" s="132">
        <f ca="1">+'Salaries (% Revenue Exp)'!F21</f>
        <v>5946.7699999999995</v>
      </c>
      <c r="G21" s="132">
        <f ca="1">+'Salaries (% Revenue Exp)'!G21</f>
        <v>6935.3</v>
      </c>
      <c r="H21" s="132">
        <f ca="1">+'Salaries (% Revenue Exp)'!H21</f>
        <v>7177.7000000000007</v>
      </c>
      <c r="I21" s="132">
        <f ca="1">+'Salaries (% Revenue Exp)'!I21</f>
        <v>8386.51</v>
      </c>
      <c r="J21" s="9">
        <v>13970.54</v>
      </c>
      <c r="K21" s="9">
        <v>17226.07</v>
      </c>
      <c r="L21" s="9">
        <v>20910.439999999999</v>
      </c>
      <c r="M21" s="9">
        <v>22876.15</v>
      </c>
      <c r="N21" s="9">
        <v>27957.99</v>
      </c>
      <c r="O21" s="9">
        <v>33779.160000000003</v>
      </c>
      <c r="P21" s="9">
        <v>44169</v>
      </c>
      <c r="Q21" s="132">
        <f t="shared" si="7"/>
        <v>19.998582731948801</v>
      </c>
      <c r="R21" s="132">
        <f t="shared" si="8"/>
        <v>20.49411154140207</v>
      </c>
      <c r="S21" s="132">
        <f t="shared" si="9"/>
        <v>23.100326918037119</v>
      </c>
      <c r="T21" s="132">
        <f t="shared" si="10"/>
        <v>25.99550186547998</v>
      </c>
      <c r="U21" s="132">
        <f t="shared" si="11"/>
        <v>24.806146650742775</v>
      </c>
      <c r="V21" s="132">
        <f t="shared" si="12"/>
        <v>21.248900209478268</v>
      </c>
      <c r="W21" s="132">
        <f t="shared" si="12"/>
        <v>18.987321424528517</v>
      </c>
    </row>
    <row r="22" spans="1:23" ht="15.75" customHeight="1">
      <c r="A22" s="3">
        <v>15</v>
      </c>
      <c r="B22" s="6" t="s">
        <v>28</v>
      </c>
      <c r="C22" s="132">
        <f ca="1">+'Salaries (% Revenue Exp)'!C22</f>
        <v>465.56</v>
      </c>
      <c r="D22" s="132">
        <f ca="1">+'Salaries (% Revenue Exp)'!D22</f>
        <v>668.28</v>
      </c>
      <c r="E22" s="132">
        <f ca="1">+'Salaries (% Revenue Exp)'!E22</f>
        <v>900.47</v>
      </c>
      <c r="F22" s="132">
        <f ca="1">+'Salaries (% Revenue Exp)'!F22</f>
        <v>1000</v>
      </c>
      <c r="G22" s="132">
        <f ca="1">+'Salaries (% Revenue Exp)'!G22</f>
        <v>1141.33</v>
      </c>
      <c r="H22" s="132">
        <f ca="1">+'Salaries (% Revenue Exp)'!H22</f>
        <v>1301.1199999999999</v>
      </c>
      <c r="I22" s="132" t="str">
        <f ca="1">+'Salaries (% Revenue Exp)'!I22</f>
        <v>NA</v>
      </c>
      <c r="J22" s="9">
        <v>2826.47</v>
      </c>
      <c r="K22" s="9">
        <v>3647.92</v>
      </c>
      <c r="L22" s="9">
        <v>4556.07</v>
      </c>
      <c r="M22" s="9">
        <v>6230</v>
      </c>
      <c r="N22" s="9">
        <v>6953.57</v>
      </c>
      <c r="O22" s="9">
        <v>8988.74</v>
      </c>
      <c r="P22" s="9">
        <v>9886.49</v>
      </c>
      <c r="Q22" s="132">
        <f t="shared" si="7"/>
        <v>16.471429026311974</v>
      </c>
      <c r="R22" s="132">
        <f t="shared" si="8"/>
        <v>18.319480690366017</v>
      </c>
      <c r="S22" s="132">
        <f t="shared" si="9"/>
        <v>19.764182727657833</v>
      </c>
      <c r="T22" s="132">
        <f t="shared" si="10"/>
        <v>16.051364365971107</v>
      </c>
      <c r="U22" s="132">
        <f t="shared" si="11"/>
        <v>16.413583238537903</v>
      </c>
      <c r="V22" s="132">
        <f t="shared" si="12"/>
        <v>14.474998720621576</v>
      </c>
      <c r="W22" s="132" t="s">
        <v>182</v>
      </c>
    </row>
    <row r="23" spans="1:23" ht="15.75" customHeight="1">
      <c r="A23" s="3">
        <v>16</v>
      </c>
      <c r="B23" s="6" t="s">
        <v>29</v>
      </c>
      <c r="C23" s="132">
        <f ca="1">+'Salaries (% Revenue Exp)'!C23</f>
        <v>7353.21</v>
      </c>
      <c r="D23" s="132">
        <f ca="1">+'Salaries (% Revenue Exp)'!D23</f>
        <v>7353.21</v>
      </c>
      <c r="E23" s="132">
        <f ca="1">+'Salaries (% Revenue Exp)'!E23</f>
        <v>7353.21</v>
      </c>
      <c r="F23" s="132">
        <f ca="1">+'Salaries (% Revenue Exp)'!F23</f>
        <v>15205.33</v>
      </c>
      <c r="G23" s="132">
        <f ca="1">+'Salaries (% Revenue Exp)'!G23</f>
        <v>15205.33</v>
      </c>
      <c r="H23" s="132">
        <f ca="1">+'Salaries (% Revenue Exp)'!H23</f>
        <v>18373.740000000002</v>
      </c>
      <c r="I23" s="132">
        <f ca="1">+'Salaries (% Revenue Exp)'!I23</f>
        <v>20510</v>
      </c>
      <c r="J23" s="9">
        <v>39734.589999999997</v>
      </c>
      <c r="K23" s="9">
        <v>48031.34</v>
      </c>
      <c r="L23" s="9">
        <v>55750.46</v>
      </c>
      <c r="M23" s="9">
        <v>66568.31</v>
      </c>
      <c r="N23" s="9">
        <v>74161.5</v>
      </c>
      <c r="O23" s="9">
        <v>92143.14</v>
      </c>
      <c r="P23" s="9">
        <v>104077.51</v>
      </c>
      <c r="Q23" s="132">
        <f t="shared" si="7"/>
        <v>18.505815713714423</v>
      </c>
      <c r="R23" s="132">
        <f t="shared" si="8"/>
        <v>15.309191873472614</v>
      </c>
      <c r="S23" s="132">
        <f t="shared" si="9"/>
        <v>13.189505521568792</v>
      </c>
      <c r="T23" s="132">
        <f t="shared" si="10"/>
        <v>22.84169449397168</v>
      </c>
      <c r="U23" s="132">
        <f t="shared" si="11"/>
        <v>20.502996837981971</v>
      </c>
      <c r="V23" s="132">
        <f t="shared" si="12"/>
        <v>19.940431810767468</v>
      </c>
      <c r="W23" s="132">
        <f t="shared" si="12"/>
        <v>19.706466843797475</v>
      </c>
    </row>
    <row r="24" spans="1:23" ht="15.75" customHeight="1">
      <c r="A24" s="3">
        <v>17</v>
      </c>
      <c r="B24" s="6" t="s">
        <v>30</v>
      </c>
      <c r="C24" s="132">
        <f ca="1">+'Salaries (% Revenue Exp)'!C24</f>
        <v>4216</v>
      </c>
      <c r="D24" s="132">
        <f ca="1">+'Salaries (% Revenue Exp)'!D24</f>
        <v>6259</v>
      </c>
      <c r="E24" s="132">
        <f ca="1">+'Salaries (% Revenue Exp)'!E24</f>
        <v>8429</v>
      </c>
      <c r="F24" s="132">
        <f ca="1">+'Salaries (% Revenue Exp)'!F24</f>
        <v>9523</v>
      </c>
      <c r="G24" s="132">
        <f ca="1">+'Salaries (% Revenue Exp)'!G24</f>
        <v>9715</v>
      </c>
      <c r="H24" s="132">
        <f ca="1">+'Salaries (% Revenue Exp)'!H24</f>
        <v>11099</v>
      </c>
      <c r="I24" s="132">
        <f ca="1">+'Salaries (% Revenue Exp)'!I24</f>
        <v>12790</v>
      </c>
      <c r="J24" s="9">
        <v>21240</v>
      </c>
      <c r="K24" s="9">
        <v>25369</v>
      </c>
      <c r="L24" s="9">
        <v>31305</v>
      </c>
      <c r="M24" s="9">
        <v>33063</v>
      </c>
      <c r="N24" s="9">
        <v>38014</v>
      </c>
      <c r="O24" s="9">
        <v>44185</v>
      </c>
      <c r="P24" s="9">
        <v>53073</v>
      </c>
      <c r="Q24" s="132">
        <f t="shared" si="7"/>
        <v>19.849340866290017</v>
      </c>
      <c r="R24" s="132">
        <f t="shared" si="8"/>
        <v>24.671843588631795</v>
      </c>
      <c r="S24" s="132">
        <f t="shared" si="9"/>
        <v>26.925411276153969</v>
      </c>
      <c r="T24" s="132">
        <f t="shared" si="10"/>
        <v>28.802588996763756</v>
      </c>
      <c r="U24" s="132">
        <f t="shared" si="11"/>
        <v>25.556373967485662</v>
      </c>
      <c r="V24" s="132">
        <f t="shared" si="12"/>
        <v>25.119384406472783</v>
      </c>
      <c r="W24" s="132">
        <f t="shared" si="12"/>
        <v>24.098882671038005</v>
      </c>
    </row>
    <row r="25" spans="1:23" ht="15.75" customHeight="1">
      <c r="A25" s="3">
        <v>18</v>
      </c>
      <c r="B25" s="6" t="s">
        <v>31</v>
      </c>
      <c r="C25" s="132">
        <f ca="1">+'Salaries (% Revenue Exp)'!C25</f>
        <v>3166.73</v>
      </c>
      <c r="D25" s="132">
        <f ca="1">+'Salaries (% Revenue Exp)'!D25</f>
        <v>3947.7400000000002</v>
      </c>
      <c r="E25" s="132">
        <f ca="1">+'Salaries (% Revenue Exp)'!E25</f>
        <v>5394.07</v>
      </c>
      <c r="F25" s="132">
        <f ca="1">+'Salaries (% Revenue Exp)'!F25</f>
        <v>5811.72</v>
      </c>
      <c r="G25" s="132">
        <f ca="1">+'Salaries (% Revenue Exp)'!G25</f>
        <v>6305.58</v>
      </c>
      <c r="H25" s="132">
        <f ca="1">+'Salaries (% Revenue Exp)'!H25</f>
        <v>6446.02</v>
      </c>
      <c r="I25" s="132">
        <f ca="1">+'Salaries (% Revenue Exp)'!I25</f>
        <v>8143.59</v>
      </c>
      <c r="J25" s="9">
        <v>14013.18</v>
      </c>
      <c r="K25" s="9">
        <v>16346.36</v>
      </c>
      <c r="L25" s="9">
        <v>18151.259999999998</v>
      </c>
      <c r="M25" s="9">
        <v>20916.599999999999</v>
      </c>
      <c r="N25" s="9">
        <v>24443.45</v>
      </c>
      <c r="O25" s="9">
        <v>28319.1</v>
      </c>
      <c r="P25" s="9">
        <v>37739.879999999997</v>
      </c>
      <c r="Q25" s="132">
        <f t="shared" si="7"/>
        <v>22.598225384959019</v>
      </c>
      <c r="R25" s="132">
        <f t="shared" si="8"/>
        <v>24.150575418625309</v>
      </c>
      <c r="S25" s="132">
        <f t="shared" si="9"/>
        <v>29.717330918074008</v>
      </c>
      <c r="T25" s="132">
        <f t="shared" si="10"/>
        <v>27.785204096268039</v>
      </c>
      <c r="U25" s="132">
        <f t="shared" si="11"/>
        <v>25.796603998208106</v>
      </c>
      <c r="V25" s="132">
        <f t="shared" si="12"/>
        <v>22.762093428110358</v>
      </c>
      <c r="W25" s="132">
        <f t="shared" si="12"/>
        <v>21.578208515766349</v>
      </c>
    </row>
    <row r="26" spans="1:23" ht="15.75" customHeight="1">
      <c r="A26" s="3">
        <v>19</v>
      </c>
      <c r="B26" s="6" t="s">
        <v>32</v>
      </c>
      <c r="C26" s="132">
        <f ca="1">+'Salaries (% Revenue Exp)'!C26</f>
        <v>7964</v>
      </c>
      <c r="D26" s="132">
        <f ca="1">+'Salaries (% Revenue Exp)'!D26</f>
        <v>9256</v>
      </c>
      <c r="E26" s="132">
        <f ca="1">+'Salaries (% Revenue Exp)'!E26</f>
        <v>9444</v>
      </c>
      <c r="F26" s="132">
        <f ca="1">+'Salaries (% Revenue Exp)'!F26</f>
        <v>9951</v>
      </c>
      <c r="G26" s="132">
        <f ca="1">+'Salaries (% Revenue Exp)'!G26</f>
        <v>11546</v>
      </c>
      <c r="H26" s="132">
        <f ca="1">+'Salaries (% Revenue Exp)'!H26</f>
        <v>15700</v>
      </c>
      <c r="I26" s="132">
        <f ca="1">+'Salaries (% Revenue Exp)'!I26</f>
        <v>17382</v>
      </c>
      <c r="J26" s="9">
        <v>46780</v>
      </c>
      <c r="K26" s="9">
        <v>52261</v>
      </c>
      <c r="L26" s="9">
        <v>60655</v>
      </c>
      <c r="M26" s="9">
        <v>69127</v>
      </c>
      <c r="N26" s="9">
        <v>82436</v>
      </c>
      <c r="O26" s="9">
        <v>92874</v>
      </c>
      <c r="P26" s="9">
        <v>115770</v>
      </c>
      <c r="Q26" s="132">
        <f t="shared" si="7"/>
        <v>17.024369388627619</v>
      </c>
      <c r="R26" s="132">
        <f t="shared" si="8"/>
        <v>17.711103882436234</v>
      </c>
      <c r="S26" s="132">
        <f t="shared" si="9"/>
        <v>15.57002720303355</v>
      </c>
      <c r="T26" s="132">
        <f t="shared" si="10"/>
        <v>14.395243537257512</v>
      </c>
      <c r="U26" s="132">
        <f t="shared" si="11"/>
        <v>14.006016788781601</v>
      </c>
      <c r="V26" s="132">
        <f t="shared" si="12"/>
        <v>16.904623468354977</v>
      </c>
      <c r="W26" s="132">
        <f t="shared" si="12"/>
        <v>15.01425239699404</v>
      </c>
    </row>
    <row r="27" spans="1:23" ht="15.75" customHeight="1">
      <c r="A27" s="3">
        <v>20</v>
      </c>
      <c r="B27" s="6" t="s">
        <v>33</v>
      </c>
      <c r="C27" s="132">
        <f ca="1">+'Salaries (% Revenue Exp)'!C27</f>
        <v>7367.12</v>
      </c>
      <c r="D27" s="132">
        <f ca="1">+'Salaries (% Revenue Exp)'!D27</f>
        <v>8800.9500000000007</v>
      </c>
      <c r="E27" s="132">
        <f ca="1">+'Salaries (% Revenue Exp)'!E27</f>
        <v>9799.3799999999992</v>
      </c>
      <c r="F27" s="132">
        <f ca="1">+'Salaries (% Revenue Exp)'!F27</f>
        <v>10698.32</v>
      </c>
      <c r="G27" s="132">
        <f ca="1">+'Salaries (% Revenue Exp)'!G27</f>
        <v>9266.7799999999988</v>
      </c>
      <c r="H27" s="132">
        <f ca="1">+'Salaries (% Revenue Exp)'!H27</f>
        <v>8689.36</v>
      </c>
      <c r="I27" s="132">
        <f ca="1">+'Salaries (% Revenue Exp)'!I27</f>
        <v>17850.27</v>
      </c>
      <c r="J27" s="9">
        <v>27259.37</v>
      </c>
      <c r="K27" s="9">
        <v>30903.15</v>
      </c>
      <c r="L27" s="9">
        <v>34068.44</v>
      </c>
      <c r="M27" s="9">
        <v>38790.239999999998</v>
      </c>
      <c r="N27" s="9">
        <v>50896.07</v>
      </c>
      <c r="O27" s="9">
        <v>58976.21</v>
      </c>
      <c r="P27" s="9">
        <v>61175</v>
      </c>
      <c r="Q27" s="132">
        <f t="shared" si="7"/>
        <v>27.026009772052696</v>
      </c>
      <c r="R27" s="132">
        <f t="shared" si="8"/>
        <v>28.479135622096781</v>
      </c>
      <c r="S27" s="132">
        <f t="shared" si="9"/>
        <v>28.763806032797508</v>
      </c>
      <c r="T27" s="132">
        <f t="shared" si="10"/>
        <v>27.579927321924281</v>
      </c>
      <c r="U27" s="132">
        <f t="shared" si="11"/>
        <v>18.207260403406391</v>
      </c>
      <c r="V27" s="132">
        <f t="shared" si="12"/>
        <v>14.733669728861859</v>
      </c>
      <c r="W27" s="132">
        <f t="shared" si="12"/>
        <v>29.179027380465879</v>
      </c>
    </row>
    <row r="28" spans="1:23" ht="15.75" customHeight="1">
      <c r="A28" s="3">
        <v>21</v>
      </c>
      <c r="B28" s="6" t="s">
        <v>34</v>
      </c>
      <c r="C28" s="132">
        <f ca="1">+'Salaries (% Revenue Exp)'!C28</f>
        <v>6533.57</v>
      </c>
      <c r="D28" s="132">
        <f ca="1">+'Salaries (% Revenue Exp)'!D28</f>
        <v>8076.8899999999994</v>
      </c>
      <c r="E28" s="132">
        <f ca="1">+'Salaries (% Revenue Exp)'!E28</f>
        <v>10171.89</v>
      </c>
      <c r="F28" s="132">
        <f ca="1">+'Salaries (% Revenue Exp)'!F28</f>
        <v>12425.13</v>
      </c>
      <c r="G28" s="132">
        <f ca="1">+'Salaries (% Revenue Exp)'!G28</f>
        <v>13340.381000000001</v>
      </c>
      <c r="H28" s="132">
        <f ca="1">+'Salaries (% Revenue Exp)'!H28</f>
        <v>15203.19</v>
      </c>
      <c r="I28" s="132">
        <f ca="1">+'Salaries (% Revenue Exp)'!I28</f>
        <v>20472.13</v>
      </c>
      <c r="J28" s="9">
        <v>33590.75</v>
      </c>
      <c r="K28" s="9">
        <v>38089.22</v>
      </c>
      <c r="L28" s="9">
        <v>47641.440000000002</v>
      </c>
      <c r="M28" s="9">
        <v>57528.05</v>
      </c>
      <c r="N28" s="9">
        <v>77613.119999999995</v>
      </c>
      <c r="O28" s="9">
        <v>79920.69</v>
      </c>
      <c r="P28" s="9">
        <v>91948.86</v>
      </c>
      <c r="Q28" s="132">
        <f t="shared" si="7"/>
        <v>19.45050348682301</v>
      </c>
      <c r="R28" s="132">
        <f t="shared" si="8"/>
        <v>21.20518613928035</v>
      </c>
      <c r="S28" s="132">
        <f t="shared" si="9"/>
        <v>21.350928939175638</v>
      </c>
      <c r="T28" s="132">
        <f t="shared" si="10"/>
        <v>21.598385483255559</v>
      </c>
      <c r="U28" s="132">
        <f t="shared" si="11"/>
        <v>17.188306564663296</v>
      </c>
      <c r="V28" s="132">
        <f t="shared" si="12"/>
        <v>19.02284627422511</v>
      </c>
      <c r="W28" s="132">
        <f t="shared" si="12"/>
        <v>22.264691481764974</v>
      </c>
    </row>
    <row r="29" spans="1:23" ht="15.75" customHeight="1">
      <c r="A29" s="3">
        <v>22</v>
      </c>
      <c r="B29" s="6" t="s">
        <v>35</v>
      </c>
      <c r="C29" s="132">
        <f ca="1">+'Salaries (% Revenue Exp)'!C29</f>
        <v>22879.170000000002</v>
      </c>
      <c r="D29" s="132">
        <f ca="1">+'Salaries (% Revenue Exp)'!D29</f>
        <v>24478</v>
      </c>
      <c r="E29" s="132">
        <f ca="1">+'Salaries (% Revenue Exp)'!E29</f>
        <v>35467.909999999996</v>
      </c>
      <c r="F29" s="132">
        <f ca="1">+'Salaries (% Revenue Exp)'!F29</f>
        <v>41746</v>
      </c>
      <c r="G29" s="132">
        <f ca="1">+'Salaries (% Revenue Exp)'!G29</f>
        <v>45479.85</v>
      </c>
      <c r="H29" s="132">
        <f ca="1">+'Salaries (% Revenue Exp)'!H29</f>
        <v>54881</v>
      </c>
      <c r="I29" s="132">
        <f ca="1">+'Salaries (% Revenue Exp)'!I29</f>
        <v>60679.999999999993</v>
      </c>
      <c r="J29" s="9">
        <v>77494.820000000007</v>
      </c>
      <c r="K29" s="9">
        <v>95847.679999999993</v>
      </c>
      <c r="L29" s="9">
        <v>113605.54</v>
      </c>
      <c r="M29" s="9">
        <v>125381.42</v>
      </c>
      <c r="N29" s="9">
        <v>142270.01999999999</v>
      </c>
      <c r="O29" s="9">
        <v>160512.14000000001</v>
      </c>
      <c r="P29" s="9">
        <v>179925.79</v>
      </c>
      <c r="Q29" s="132">
        <f t="shared" si="7"/>
        <v>29.523482988927519</v>
      </c>
      <c r="R29" s="132">
        <f t="shared" si="8"/>
        <v>25.538437654411666</v>
      </c>
      <c r="S29" s="132">
        <f t="shared" si="9"/>
        <v>31.220229224736752</v>
      </c>
      <c r="T29" s="132">
        <f t="shared" si="10"/>
        <v>33.295204345269021</v>
      </c>
      <c r="U29" s="132">
        <f t="shared" si="11"/>
        <v>31.967276029060798</v>
      </c>
      <c r="V29" s="132">
        <f t="shared" si="12"/>
        <v>34.191183296166876</v>
      </c>
      <c r="W29" s="132">
        <f t="shared" si="12"/>
        <v>33.725015185427274</v>
      </c>
    </row>
    <row r="30" spans="1:23" ht="15.75" customHeight="1">
      <c r="A30" s="3">
        <v>23</v>
      </c>
      <c r="B30" s="6" t="s">
        <v>74</v>
      </c>
      <c r="C30" s="132">
        <f ca="1">+'Salaries (% Revenue Exp)'!C30</f>
        <v>4745.4399999999996</v>
      </c>
      <c r="D30" s="132">
        <f ca="1">+'Salaries (% Revenue Exp)'!D30</f>
        <v>7033.66</v>
      </c>
      <c r="E30" s="132">
        <f ca="1">+'Salaries (% Revenue Exp)'!E30</f>
        <v>8465.8799999999992</v>
      </c>
      <c r="F30" s="132">
        <f ca="1">+'Salaries (% Revenue Exp)'!F30</f>
        <v>8838.92</v>
      </c>
      <c r="G30" s="132">
        <f ca="1">+'Salaries (% Revenue Exp)'!G30</f>
        <v>8745.74</v>
      </c>
      <c r="H30" s="132">
        <f ca="1">+'Salaries (% Revenue Exp)'!H30</f>
        <v>9515.42</v>
      </c>
      <c r="I30" s="132">
        <f ca="1">+'Salaries (% Revenue Exp)'!I30</f>
        <v>14523.849999999999</v>
      </c>
      <c r="J30" s="9">
        <v>20999.360000000001</v>
      </c>
      <c r="K30" s="9">
        <v>24838.42</v>
      </c>
      <c r="L30" s="9">
        <v>29042.63</v>
      </c>
      <c r="M30" s="9">
        <v>33967.74</v>
      </c>
      <c r="N30" s="9">
        <v>39777.339999999997</v>
      </c>
      <c r="O30" s="9">
        <v>44075.76</v>
      </c>
      <c r="P30" s="9">
        <v>57484.4</v>
      </c>
      <c r="Q30" s="132">
        <f t="shared" si="7"/>
        <v>22.598022034957253</v>
      </c>
      <c r="R30" s="132">
        <f t="shared" si="8"/>
        <v>28.317662717676889</v>
      </c>
      <c r="S30" s="132">
        <f t="shared" si="9"/>
        <v>29.149839391267246</v>
      </c>
      <c r="T30" s="132">
        <f t="shared" si="10"/>
        <v>26.021513353552521</v>
      </c>
      <c r="U30" s="132">
        <f t="shared" si="11"/>
        <v>21.986739183665875</v>
      </c>
      <c r="V30" s="132">
        <f t="shared" si="12"/>
        <v>21.588782587072803</v>
      </c>
      <c r="W30" s="132">
        <f t="shared" si="12"/>
        <v>25.265724266061746</v>
      </c>
    </row>
    <row r="31" spans="1:23" ht="15.75" customHeight="1">
      <c r="A31" s="3">
        <v>24</v>
      </c>
      <c r="B31" s="6" t="s">
        <v>36</v>
      </c>
      <c r="C31" s="132">
        <f ca="1">+'Salaries (% Revenue Exp)'!C31</f>
        <v>6316.4100000000008</v>
      </c>
      <c r="D31" s="132">
        <f ca="1">+'Salaries (% Revenue Exp)'!D31</f>
        <v>6744.8099999999995</v>
      </c>
      <c r="E31" s="132">
        <f ca="1">+'Salaries (% Revenue Exp)'!E31</f>
        <v>8131.31</v>
      </c>
      <c r="F31" s="132">
        <f ca="1">+'Salaries (% Revenue Exp)'!F31</f>
        <v>9635.18</v>
      </c>
      <c r="G31" s="132">
        <f ca="1">+'Salaries (% Revenue Exp)'!G31</f>
        <v>12273.79</v>
      </c>
      <c r="H31" s="132">
        <f ca="1">+'Salaries (% Revenue Exp)'!H31</f>
        <v>13868.64</v>
      </c>
      <c r="I31" s="132">
        <f ca="1">+'Salaries (% Revenue Exp)'!I31</f>
        <v>15269.12</v>
      </c>
      <c r="J31" s="9">
        <v>25287.31</v>
      </c>
      <c r="K31" s="9">
        <v>27481.99</v>
      </c>
      <c r="L31" s="9">
        <v>29603.19</v>
      </c>
      <c r="M31" s="9">
        <v>35349.67</v>
      </c>
      <c r="N31" s="9">
        <v>34820.050000000003</v>
      </c>
      <c r="O31" s="9">
        <v>41571.279999999999</v>
      </c>
      <c r="P31" s="9">
        <v>52063.75</v>
      </c>
      <c r="Q31" s="132">
        <f t="shared" si="7"/>
        <v>24.978576210755516</v>
      </c>
      <c r="R31" s="132">
        <f t="shared" si="8"/>
        <v>24.542655026073437</v>
      </c>
      <c r="S31" s="132">
        <f t="shared" si="9"/>
        <v>27.467681692412206</v>
      </c>
      <c r="T31" s="132">
        <f t="shared" si="10"/>
        <v>27.256774957163678</v>
      </c>
      <c r="U31" s="132">
        <f t="shared" si="11"/>
        <v>35.249202686383271</v>
      </c>
      <c r="V31" s="132">
        <f t="shared" si="12"/>
        <v>33.361108919427068</v>
      </c>
      <c r="W31" s="132">
        <f t="shared" si="12"/>
        <v>29.32773762934864</v>
      </c>
    </row>
    <row r="32" spans="1:23" ht="15.75" customHeight="1">
      <c r="A32" s="3">
        <v>25</v>
      </c>
      <c r="B32" s="6" t="s">
        <v>37</v>
      </c>
      <c r="C32" s="132">
        <f ca="1">+'Salaries (% Revenue Exp)'!C32</f>
        <v>7691.85</v>
      </c>
      <c r="D32" s="132">
        <f ca="1">+'Salaries (% Revenue Exp)'!D32</f>
        <v>11269.49</v>
      </c>
      <c r="E32" s="132">
        <f ca="1">+'Salaries (% Revenue Exp)'!E32</f>
        <v>13802.12</v>
      </c>
      <c r="F32" s="132">
        <f ca="1">+'Salaries (% Revenue Exp)'!F32</f>
        <v>13351.22</v>
      </c>
      <c r="G32" s="132">
        <f ca="1">+'Salaries (% Revenue Exp)'!G32</f>
        <v>14479.89</v>
      </c>
      <c r="H32" s="132">
        <f ca="1">+'Salaries (% Revenue Exp)'!H32</f>
        <v>16406.580000000002</v>
      </c>
      <c r="I32" s="132">
        <f ca="1">+'Salaries (% Revenue Exp)'!I32</f>
        <v>20121.939999999999</v>
      </c>
      <c r="J32" s="9">
        <v>35970.89</v>
      </c>
      <c r="K32" s="9">
        <v>40535.61</v>
      </c>
      <c r="L32" s="9">
        <v>45804.74</v>
      </c>
      <c r="M32" s="9">
        <v>50386.080000000002</v>
      </c>
      <c r="N32" s="9">
        <v>61881.66</v>
      </c>
      <c r="O32" s="9">
        <v>76557.2</v>
      </c>
      <c r="P32" s="9">
        <v>90439.65</v>
      </c>
      <c r="Q32" s="132">
        <f t="shared" si="7"/>
        <v>21.383540968822288</v>
      </c>
      <c r="R32" s="132">
        <f t="shared" si="8"/>
        <v>27.801456546478516</v>
      </c>
      <c r="S32" s="132">
        <f t="shared" si="9"/>
        <v>30.132514669879146</v>
      </c>
      <c r="T32" s="132">
        <f t="shared" ref="T32:U36" si="13">+F32/M32*100</f>
        <v>26.497834322495418</v>
      </c>
      <c r="U32" s="132">
        <f t="shared" si="13"/>
        <v>23.399323806116382</v>
      </c>
      <c r="V32" s="132">
        <f t="shared" ref="V32:W35" si="14">+H32/O32*100</f>
        <v>21.430485963436492</v>
      </c>
      <c r="W32" s="132">
        <f t="shared" si="14"/>
        <v>22.249024625814009</v>
      </c>
    </row>
    <row r="33" spans="1:23" ht="15.75" customHeight="1">
      <c r="A33" s="3">
        <v>26</v>
      </c>
      <c r="B33" s="6" t="s">
        <v>38</v>
      </c>
      <c r="C33" s="132">
        <f ca="1">+'Salaries (% Revenue Exp)'!C33</f>
        <v>11005.84</v>
      </c>
      <c r="D33" s="132">
        <f ca="1">+'Salaries (% Revenue Exp)'!D33</f>
        <v>14265.63</v>
      </c>
      <c r="E33" s="132">
        <f ca="1">+'Salaries (% Revenue Exp)'!E33</f>
        <v>17275.68</v>
      </c>
      <c r="F33" s="132">
        <f ca="1">+'Salaries (% Revenue Exp)'!F33</f>
        <v>21545.200000000001</v>
      </c>
      <c r="G33" s="132">
        <f ca="1">+'Salaries (% Revenue Exp)'!G33</f>
        <v>23602.5</v>
      </c>
      <c r="H33" s="132">
        <f ca="1">+'Salaries (% Revenue Exp)'!H33</f>
        <v>27338.14</v>
      </c>
      <c r="I33" s="132">
        <f ca="1">+'Salaries (% Revenue Exp)'!I33</f>
        <v>34570</v>
      </c>
      <c r="J33" s="9">
        <v>52218.8</v>
      </c>
      <c r="K33" s="9">
        <v>65524.5</v>
      </c>
      <c r="L33" s="9">
        <v>70238.490000000005</v>
      </c>
      <c r="M33" s="9">
        <v>87604.49</v>
      </c>
      <c r="N33" s="9">
        <v>105656.84</v>
      </c>
      <c r="O33" s="9">
        <v>120574.03</v>
      </c>
      <c r="P33" s="9">
        <v>131412.04</v>
      </c>
      <c r="Q33" s="132">
        <f t="shared" si="7"/>
        <v>21.076393942411546</v>
      </c>
      <c r="R33" s="132">
        <f t="shared" si="8"/>
        <v>21.771444268937572</v>
      </c>
      <c r="S33" s="132">
        <f t="shared" si="9"/>
        <v>24.595745153405204</v>
      </c>
      <c r="T33" s="132">
        <f t="shared" si="13"/>
        <v>24.593716600598896</v>
      </c>
      <c r="U33" s="132">
        <f t="shared" si="13"/>
        <v>22.338828229199358</v>
      </c>
      <c r="V33" s="132">
        <f t="shared" si="14"/>
        <v>22.673323600446963</v>
      </c>
      <c r="W33" s="132">
        <f t="shared" si="14"/>
        <v>26.306569778537796</v>
      </c>
    </row>
    <row r="34" spans="1:23" ht="15.75" customHeight="1">
      <c r="A34" s="3">
        <v>27</v>
      </c>
      <c r="B34" s="6" t="s">
        <v>39</v>
      </c>
      <c r="C34" s="132">
        <f ca="1">+'Salaries (% Revenue Exp)'!C34</f>
        <v>19603.89</v>
      </c>
      <c r="D34" s="132">
        <f ca="1">+'Salaries (% Revenue Exp)'!D34</f>
        <v>14156.88</v>
      </c>
      <c r="E34" s="132">
        <f ca="1">+'Salaries (% Revenue Exp)'!E34</f>
        <v>19711.009999999998</v>
      </c>
      <c r="F34" s="132">
        <f ca="1">+'Salaries (% Revenue Exp)'!F34</f>
        <v>22659.18</v>
      </c>
      <c r="G34" s="132">
        <f ca="1">+'Salaries (% Revenue Exp)'!G34</f>
        <v>26660.71</v>
      </c>
      <c r="H34" s="132">
        <f ca="1">+'Salaries (% Revenue Exp)'!H34</f>
        <v>30608.620000000003</v>
      </c>
      <c r="I34" s="132">
        <f ca="1">+'Salaries (% Revenue Exp)'!I34</f>
        <v>33895.839999999997</v>
      </c>
      <c r="J34" s="9">
        <v>82915.55</v>
      </c>
      <c r="K34" s="9">
        <v>99121.62</v>
      </c>
      <c r="L34" s="9">
        <v>115406.69</v>
      </c>
      <c r="M34" s="9">
        <v>128916.63</v>
      </c>
      <c r="N34" s="9">
        <v>146434.70000000001</v>
      </c>
      <c r="O34" s="9">
        <v>178456.56</v>
      </c>
      <c r="P34" s="9">
        <v>221201.19</v>
      </c>
      <c r="Q34" s="132">
        <f t="shared" si="7"/>
        <v>23.643200823006058</v>
      </c>
      <c r="R34" s="132">
        <f t="shared" si="8"/>
        <v>14.282333157993179</v>
      </c>
      <c r="S34" s="132">
        <f t="shared" si="9"/>
        <v>17.079607776637555</v>
      </c>
      <c r="T34" s="132">
        <f t="shared" si="13"/>
        <v>17.576615212482672</v>
      </c>
      <c r="U34" s="132">
        <f t="shared" si="13"/>
        <v>18.206552135525254</v>
      </c>
      <c r="V34" s="132">
        <f t="shared" si="14"/>
        <v>17.151860374311823</v>
      </c>
      <c r="W34" s="132">
        <f t="shared" si="14"/>
        <v>15.323534199793409</v>
      </c>
    </row>
    <row r="35" spans="1:23" ht="15.75" customHeight="1">
      <c r="A35" s="3">
        <v>28</v>
      </c>
      <c r="B35" s="6" t="s">
        <v>40</v>
      </c>
      <c r="C35" s="132">
        <f ca="1">+'Salaries (% Revenue Exp)'!C35</f>
        <v>11618.4</v>
      </c>
      <c r="D35" s="132">
        <f ca="1">+'Salaries (% Revenue Exp)'!D35</f>
        <v>12985.59</v>
      </c>
      <c r="E35" s="132">
        <f ca="1">+'Salaries (% Revenue Exp)'!E35</f>
        <v>20826.669999999998</v>
      </c>
      <c r="F35" s="132">
        <f ca="1">+'Salaries (% Revenue Exp)'!F35</f>
        <v>23727.95</v>
      </c>
      <c r="G35" s="132">
        <f ca="1">+'Salaries (% Revenue Exp)'!G35</f>
        <v>25483.89</v>
      </c>
      <c r="H35" s="132">
        <f ca="1">+'Salaries (% Revenue Exp)'!H35</f>
        <v>26684.799999999999</v>
      </c>
      <c r="I35" s="132">
        <f ca="1">+'Salaries (% Revenue Exp)'!I35</f>
        <v>31037.74</v>
      </c>
      <c r="J35" s="9">
        <v>42064.28</v>
      </c>
      <c r="K35" s="9">
        <v>56078.26</v>
      </c>
      <c r="L35" s="9">
        <v>62263.38</v>
      </c>
      <c r="M35" s="9">
        <v>67171.649999999994</v>
      </c>
      <c r="N35" s="9">
        <v>76538.080000000002</v>
      </c>
      <c r="O35" s="9">
        <v>87722.21</v>
      </c>
      <c r="P35" s="9">
        <v>101978.82</v>
      </c>
      <c r="Q35" s="132">
        <f t="shared" si="7"/>
        <v>27.620584495919104</v>
      </c>
      <c r="R35" s="132">
        <f t="shared" si="8"/>
        <v>23.156192792001747</v>
      </c>
      <c r="S35" s="132">
        <f t="shared" si="9"/>
        <v>33.449308405679226</v>
      </c>
      <c r="T35" s="132">
        <f t="shared" si="13"/>
        <v>35.324351865705253</v>
      </c>
      <c r="U35" s="132">
        <f t="shared" si="13"/>
        <v>33.295700649924846</v>
      </c>
      <c r="V35" s="132">
        <f t="shared" si="14"/>
        <v>30.419662249731278</v>
      </c>
      <c r="W35" s="132">
        <f t="shared" si="14"/>
        <v>30.435476699965736</v>
      </c>
    </row>
    <row r="36" spans="1:23" s="67" customFormat="1" ht="15.75" customHeight="1">
      <c r="A36" s="4"/>
      <c r="B36" s="4" t="s">
        <v>190</v>
      </c>
      <c r="C36" s="133">
        <f t="shared" ref="C36:P36" si="15">SUM(C19:C35)</f>
        <v>143207.07</v>
      </c>
      <c r="D36" s="133">
        <f t="shared" si="15"/>
        <v>160762.23000000001</v>
      </c>
      <c r="E36" s="133">
        <f t="shared" si="15"/>
        <v>206983.09000000003</v>
      </c>
      <c r="F36" s="133">
        <f t="shared" si="15"/>
        <v>246054.64000000004</v>
      </c>
      <c r="G36" s="133">
        <f t="shared" si="15"/>
        <v>268771.97099999996</v>
      </c>
      <c r="H36" s="133">
        <f t="shared" si="15"/>
        <v>302622.67000000004</v>
      </c>
      <c r="I36" s="133">
        <f ca="1">SUM(I19:I35)</f>
        <v>365425.89</v>
      </c>
      <c r="J36" s="65">
        <f t="shared" si="15"/>
        <v>635983.46000000008</v>
      </c>
      <c r="K36" s="65">
        <f t="shared" si="15"/>
        <v>752435.17</v>
      </c>
      <c r="L36" s="65">
        <f t="shared" si="15"/>
        <v>858646.62</v>
      </c>
      <c r="M36" s="65">
        <f t="shared" si="15"/>
        <v>985363.88</v>
      </c>
      <c r="N36" s="65">
        <f t="shared" si="15"/>
        <v>1156232.5100000002</v>
      </c>
      <c r="O36" s="65">
        <f t="shared" si="15"/>
        <v>1336555.93</v>
      </c>
      <c r="P36" s="65">
        <f t="shared" si="15"/>
        <v>1593916.58</v>
      </c>
      <c r="Q36" s="133">
        <f t="shared" si="7"/>
        <v>22.517420500212378</v>
      </c>
      <c r="R36" s="133">
        <f t="shared" si="8"/>
        <v>21.365592201119465</v>
      </c>
      <c r="S36" s="133">
        <f t="shared" si="9"/>
        <v>24.10573630395238</v>
      </c>
      <c r="T36" s="133">
        <f t="shared" si="13"/>
        <v>24.970941699222834</v>
      </c>
      <c r="U36" s="133">
        <f t="shared" si="13"/>
        <v>23.245495060504734</v>
      </c>
      <c r="V36" s="133">
        <f>+H36/O36*100</f>
        <v>22.641975783235651</v>
      </c>
      <c r="W36" s="133">
        <f>+I36/P36*100</f>
        <v>22.926287020616851</v>
      </c>
    </row>
    <row r="37" spans="1:23" ht="15.75" customHeight="1">
      <c r="A37" s="6"/>
      <c r="B37" s="4" t="s">
        <v>53</v>
      </c>
      <c r="C37" s="132"/>
      <c r="D37" s="132"/>
      <c r="E37" s="132"/>
      <c r="F37" s="132"/>
      <c r="G37" s="132"/>
      <c r="H37" s="132"/>
      <c r="I37" s="132"/>
      <c r="J37" s="9"/>
      <c r="K37" s="9"/>
      <c r="L37" s="9"/>
      <c r="M37" s="9"/>
      <c r="N37" s="9"/>
      <c r="O37" s="9"/>
      <c r="P37" s="9"/>
      <c r="Q37" s="132"/>
      <c r="R37" s="132"/>
      <c r="S37" s="132"/>
      <c r="T37" s="132"/>
      <c r="U37" s="132"/>
      <c r="V37" s="132"/>
      <c r="W37" s="132"/>
    </row>
    <row r="38" spans="1:23" ht="15.75" customHeight="1">
      <c r="A38" s="3">
        <v>29</v>
      </c>
      <c r="B38" s="6" t="s">
        <v>43</v>
      </c>
      <c r="C38" s="132">
        <f ca="1">+'Salaries (% Revenue Exp)'!C38</f>
        <v>1713.62</v>
      </c>
      <c r="D38" s="132">
        <f ca="1">+'Salaries (% Revenue Exp)'!D38</f>
        <v>2905.18</v>
      </c>
      <c r="E38" s="132">
        <f ca="1">+'Salaries (% Revenue Exp)'!E38</f>
        <v>3836.32</v>
      </c>
      <c r="F38" s="132">
        <f ca="1">+'Salaries (% Revenue Exp)'!F38</f>
        <v>3431.86</v>
      </c>
      <c r="G38" s="132">
        <f ca="1">+'Salaries (% Revenue Exp)'!G38</f>
        <v>3784.94</v>
      </c>
      <c r="H38" s="132">
        <f ca="1">+'Salaries (% Revenue Exp)'!H38</f>
        <v>4260.92</v>
      </c>
      <c r="I38" s="132">
        <f ca="1">+'Salaries (% Revenue Exp)'!I38</f>
        <v>5027.0600000000004</v>
      </c>
      <c r="J38" s="9">
        <v>18159.63</v>
      </c>
      <c r="K38" s="9">
        <v>20361.310000000001</v>
      </c>
      <c r="L38" s="9">
        <v>24925.919999999998</v>
      </c>
      <c r="M38" s="9">
        <v>25524.32</v>
      </c>
      <c r="N38" s="9">
        <v>26402.42</v>
      </c>
      <c r="O38" s="9">
        <v>29858.81</v>
      </c>
      <c r="P38" s="9">
        <v>37450</v>
      </c>
      <c r="Q38" s="132">
        <f t="shared" ref="Q38:W40" si="16">+C38/J38*100</f>
        <v>9.4364257421544373</v>
      </c>
      <c r="R38" s="132">
        <f t="shared" si="16"/>
        <v>14.268138936050773</v>
      </c>
      <c r="S38" s="132">
        <f t="shared" si="16"/>
        <v>15.390886274207736</v>
      </c>
      <c r="T38" s="132">
        <f t="shared" si="16"/>
        <v>13.445451240228929</v>
      </c>
      <c r="U38" s="132">
        <f t="shared" si="16"/>
        <v>14.335579844574855</v>
      </c>
      <c r="V38" s="132">
        <f t="shared" si="16"/>
        <v>14.270227112199047</v>
      </c>
      <c r="W38" s="132">
        <f t="shared" si="16"/>
        <v>13.423391188251003</v>
      </c>
    </row>
    <row r="39" spans="1:23" ht="15.75" customHeight="1">
      <c r="A39" s="3">
        <v>30</v>
      </c>
      <c r="B39" s="6" t="s">
        <v>44</v>
      </c>
      <c r="C39" s="132">
        <f ca="1">+'Salaries (% Revenue Exp)'!C39</f>
        <v>445</v>
      </c>
      <c r="D39" s="132">
        <f ca="1">+'Salaries (% Revenue Exp)'!D39</f>
        <v>688</v>
      </c>
      <c r="E39" s="132">
        <f ca="1">+'Salaries (% Revenue Exp)'!E39</f>
        <v>868</v>
      </c>
      <c r="F39" s="132">
        <f ca="1">+'Salaries (% Revenue Exp)'!F39</f>
        <v>1011</v>
      </c>
      <c r="G39" s="132">
        <f ca="1">+'Salaries (% Revenue Exp)'!G39</f>
        <v>948.04</v>
      </c>
      <c r="H39" s="132">
        <f ca="1">+'Salaries (% Revenue Exp)'!H39</f>
        <v>969.08</v>
      </c>
      <c r="I39" s="132">
        <f ca="1">+'Salaries (% Revenue Exp)'!I39</f>
        <v>1215.98</v>
      </c>
      <c r="J39" s="9">
        <v>2476</v>
      </c>
      <c r="K39" s="9">
        <v>2834</v>
      </c>
      <c r="L39" s="9">
        <v>3454</v>
      </c>
      <c r="M39" s="9">
        <v>3913</v>
      </c>
      <c r="N39" s="9">
        <v>3599</v>
      </c>
      <c r="O39" s="9">
        <v>3356.34</v>
      </c>
      <c r="P39" s="9">
        <v>3995.07</v>
      </c>
      <c r="Q39" s="132">
        <f t="shared" si="16"/>
        <v>17.972536348949919</v>
      </c>
      <c r="R39" s="132">
        <f t="shared" si="16"/>
        <v>24.276640790402261</v>
      </c>
      <c r="S39" s="132">
        <f t="shared" si="16"/>
        <v>25.130283729009843</v>
      </c>
      <c r="T39" s="132">
        <f t="shared" si="16"/>
        <v>25.83695374393049</v>
      </c>
      <c r="U39" s="132">
        <f t="shared" si="16"/>
        <v>26.34176160044457</v>
      </c>
      <c r="V39" s="132">
        <f t="shared" si="16"/>
        <v>28.873117741349208</v>
      </c>
      <c r="W39" s="132">
        <f t="shared" si="16"/>
        <v>30.437013619285768</v>
      </c>
    </row>
    <row r="40" spans="1:23" ht="15.75" customHeight="1">
      <c r="A40" s="6"/>
      <c r="B40" s="4" t="s">
        <v>54</v>
      </c>
      <c r="C40" s="133">
        <f t="shared" ref="C40:K40" si="17">SUM(C38:C39)</f>
        <v>2158.62</v>
      </c>
      <c r="D40" s="133">
        <f t="shared" si="17"/>
        <v>3593.18</v>
      </c>
      <c r="E40" s="133">
        <f>SUM(E38:E39)</f>
        <v>4704.32</v>
      </c>
      <c r="F40" s="133">
        <f>SUM(F38:F39)</f>
        <v>4442.8600000000006</v>
      </c>
      <c r="G40" s="133">
        <f>SUM(G38:G39)</f>
        <v>4732.9799999999996</v>
      </c>
      <c r="H40" s="133">
        <f>SUM(H38:H39)</f>
        <v>5230</v>
      </c>
      <c r="I40" s="133">
        <f>SUM(I38:I39)</f>
        <v>6243.0400000000009</v>
      </c>
      <c r="J40" s="65">
        <f t="shared" si="17"/>
        <v>20635.63</v>
      </c>
      <c r="K40" s="65">
        <f t="shared" si="17"/>
        <v>23195.31</v>
      </c>
      <c r="L40" s="65">
        <f>SUM(L38:L39)</f>
        <v>28379.919999999998</v>
      </c>
      <c r="M40" s="65">
        <f>SUM(M38:M39)</f>
        <v>29437.32</v>
      </c>
      <c r="N40" s="65">
        <f>SUM(N38:N39)</f>
        <v>30001.42</v>
      </c>
      <c r="O40" s="65">
        <f>SUM(O38:O39)</f>
        <v>33215.15</v>
      </c>
      <c r="P40" s="65">
        <f>SUM(P38:P39)</f>
        <v>41445.07</v>
      </c>
      <c r="Q40" s="133">
        <f t="shared" si="16"/>
        <v>10.46064501059575</v>
      </c>
      <c r="R40" s="133">
        <f t="shared" si="16"/>
        <v>15.490976408592944</v>
      </c>
      <c r="S40" s="133">
        <f t="shared" si="16"/>
        <v>16.5762271352421</v>
      </c>
      <c r="T40" s="133">
        <f t="shared" si="16"/>
        <v>15.092610332734097</v>
      </c>
      <c r="U40" s="133">
        <f t="shared" si="16"/>
        <v>15.775853276278257</v>
      </c>
      <c r="V40" s="133">
        <f t="shared" si="16"/>
        <v>15.745826829022297</v>
      </c>
      <c r="W40" s="133">
        <f t="shared" si="16"/>
        <v>15.063408024163069</v>
      </c>
    </row>
    <row r="41" spans="1:23" ht="6.75" customHeight="1">
      <c r="A41" s="6"/>
      <c r="B41" s="6"/>
      <c r="C41" s="132"/>
      <c r="D41" s="132"/>
      <c r="E41" s="132"/>
      <c r="F41" s="132"/>
      <c r="G41" s="132"/>
      <c r="H41" s="132"/>
      <c r="I41" s="132"/>
      <c r="J41" s="9"/>
      <c r="K41" s="9"/>
      <c r="L41" s="9"/>
      <c r="M41" s="9"/>
      <c r="N41" s="9"/>
      <c r="O41" s="9"/>
      <c r="P41" s="9"/>
      <c r="Q41" s="132"/>
      <c r="R41" s="132"/>
      <c r="S41" s="132"/>
      <c r="T41" s="132"/>
      <c r="U41" s="132"/>
      <c r="V41" s="132"/>
      <c r="W41" s="132"/>
    </row>
    <row r="42" spans="1:23" s="67" customFormat="1">
      <c r="A42" s="4"/>
      <c r="B42" s="4" t="s">
        <v>67</v>
      </c>
      <c r="C42" s="133">
        <f t="shared" ref="C42:K42" si="18">+C17+C36+C40</f>
        <v>166685.41</v>
      </c>
      <c r="D42" s="133">
        <f t="shared" si="18"/>
        <v>188501.43</v>
      </c>
      <c r="E42" s="133">
        <f>+E17+E36+E40</f>
        <v>242532.41000000003</v>
      </c>
      <c r="F42" s="133">
        <f>+F17+F36+F40</f>
        <v>291411.45</v>
      </c>
      <c r="G42" s="133">
        <f>+G17+G36+G40</f>
        <v>316671.18099999992</v>
      </c>
      <c r="H42" s="133">
        <f>+H17+H36+H40</f>
        <v>356477.39</v>
      </c>
      <c r="I42" s="133">
        <f>+I17+I36+I40</f>
        <v>428467.43</v>
      </c>
      <c r="J42" s="65">
        <f t="shared" si="18"/>
        <v>727674.4800000001</v>
      </c>
      <c r="K42" s="65">
        <f t="shared" si="18"/>
        <v>857173.90000000014</v>
      </c>
      <c r="L42" s="65">
        <f>+L17+L36+L40</f>
        <v>985722.17</v>
      </c>
      <c r="M42" s="65">
        <f>+M17+M36+M40</f>
        <v>1132810.05</v>
      </c>
      <c r="N42" s="65">
        <f>+N17+N36+N40</f>
        <v>1317398.7500000002</v>
      </c>
      <c r="O42" s="65">
        <f>+O17+O36+O40</f>
        <v>1513751.43</v>
      </c>
      <c r="P42" s="65">
        <f>+P17+P36+P40</f>
        <v>1812349.7300000002</v>
      </c>
      <c r="Q42" s="133">
        <f t="shared" ref="Q42:W42" si="19">+C42/J42*100</f>
        <v>22.90659004559291</v>
      </c>
      <c r="R42" s="133">
        <f t="shared" si="19"/>
        <v>21.991037057941217</v>
      </c>
      <c r="S42" s="133">
        <f t="shared" si="19"/>
        <v>24.604540445712004</v>
      </c>
      <c r="T42" s="133">
        <f t="shared" si="19"/>
        <v>25.724652601731417</v>
      </c>
      <c r="U42" s="133">
        <f t="shared" si="19"/>
        <v>24.037610556408971</v>
      </c>
      <c r="V42" s="133">
        <f t="shared" si="19"/>
        <v>23.54926858764388</v>
      </c>
      <c r="W42" s="133">
        <f t="shared" si="19"/>
        <v>23.641542408042842</v>
      </c>
    </row>
    <row r="43" spans="1:23" ht="15">
      <c r="B43" s="628" t="s">
        <v>187</v>
      </c>
      <c r="C43" s="628"/>
      <c r="D43" s="628"/>
      <c r="E43" s="628"/>
      <c r="F43" s="628"/>
      <c r="G43" s="628"/>
      <c r="H43" s="628"/>
      <c r="I43" s="628"/>
      <c r="J43" s="628"/>
      <c r="S43" s="67"/>
      <c r="T43" s="67"/>
      <c r="U43" s="67"/>
      <c r="V43" s="67"/>
    </row>
    <row r="44" spans="1:23">
      <c r="B44" s="67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</row>
  </sheetData>
  <mergeCells count="7">
    <mergeCell ref="B43:J43"/>
    <mergeCell ref="A1:S1"/>
    <mergeCell ref="A2:A4"/>
    <mergeCell ref="B2:B3"/>
    <mergeCell ref="C2:I2"/>
    <mergeCell ref="J2:P2"/>
    <mergeCell ref="Q2:W2"/>
  </mergeCells>
  <phoneticPr fontId="42" type="noConversion"/>
  <printOptions horizontalCentered="1"/>
  <pageMargins left="0.35433070866141736" right="0.15748031496062992" top="0.78740157480314965" bottom="0.39370078740157483" header="0" footer="0"/>
  <pageSetup paperSize="9" scale="51" orientation="landscape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W4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5" sqref="B5"/>
    </sheetView>
  </sheetViews>
  <sheetFormatPr defaultRowHeight="12.75"/>
  <cols>
    <col min="1" max="1" width="5.5703125" style="25" customWidth="1"/>
    <col min="2" max="2" width="37" customWidth="1"/>
    <col min="3" max="3" width="11.28515625" style="14" bestFit="1" customWidth="1"/>
    <col min="4" max="4" width="13.140625" style="14" customWidth="1"/>
    <col min="5" max="5" width="12" style="14" customWidth="1"/>
    <col min="6" max="7" width="12.42578125" style="14" customWidth="1"/>
    <col min="8" max="8" width="12.5703125" style="14" bestFit="1" customWidth="1"/>
    <col min="9" max="9" width="12.5703125" style="14" customWidth="1"/>
    <col min="10" max="10" width="10.85546875" customWidth="1"/>
    <col min="11" max="14" width="12.7109375" customWidth="1"/>
    <col min="15" max="15" width="10.140625" customWidth="1"/>
    <col min="16" max="16" width="10.140625" style="177" customWidth="1"/>
    <col min="17" max="22" width="10.7109375" customWidth="1"/>
  </cols>
  <sheetData>
    <row r="1" spans="1:23" ht="21" customHeight="1">
      <c r="A1" s="653" t="s">
        <v>102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69"/>
      <c r="T1" s="69"/>
      <c r="U1" s="69"/>
      <c r="V1" s="69"/>
    </row>
    <row r="2" spans="1:23" ht="37.5" customHeight="1">
      <c r="A2" s="599" t="s">
        <v>71</v>
      </c>
      <c r="B2" s="599" t="s">
        <v>72</v>
      </c>
      <c r="C2" s="638" t="s">
        <v>160</v>
      </c>
      <c r="D2" s="639"/>
      <c r="E2" s="639"/>
      <c r="F2" s="639"/>
      <c r="G2" s="639"/>
      <c r="H2" s="639"/>
      <c r="I2" s="640"/>
      <c r="J2" s="655" t="s">
        <v>185</v>
      </c>
      <c r="K2" s="655"/>
      <c r="L2" s="655"/>
      <c r="M2" s="655"/>
      <c r="N2" s="655"/>
      <c r="O2" s="655"/>
      <c r="P2" s="655"/>
      <c r="Q2" s="614" t="s">
        <v>137</v>
      </c>
      <c r="R2" s="614"/>
      <c r="S2" s="614"/>
      <c r="T2" s="614"/>
      <c r="U2" s="614"/>
      <c r="V2" s="614"/>
      <c r="W2" s="614"/>
    </row>
    <row r="3" spans="1:23" s="71" customFormat="1" ht="28.5" customHeight="1">
      <c r="A3" s="599"/>
      <c r="B3" s="599"/>
      <c r="C3" s="123" t="s">
        <v>48</v>
      </c>
      <c r="D3" s="123" t="s">
        <v>49</v>
      </c>
      <c r="E3" s="123" t="s">
        <v>5</v>
      </c>
      <c r="F3" s="123" t="s">
        <v>6</v>
      </c>
      <c r="G3" s="123" t="s">
        <v>7</v>
      </c>
      <c r="H3" s="123" t="s">
        <v>122</v>
      </c>
      <c r="I3" s="123" t="s">
        <v>139</v>
      </c>
      <c r="J3" s="76" t="s">
        <v>48</v>
      </c>
      <c r="K3" s="76" t="s">
        <v>49</v>
      </c>
      <c r="L3" s="1" t="s">
        <v>5</v>
      </c>
      <c r="M3" s="1" t="s">
        <v>6</v>
      </c>
      <c r="N3" s="1" t="s">
        <v>7</v>
      </c>
      <c r="O3" s="1" t="s">
        <v>122</v>
      </c>
      <c r="P3" s="1" t="s">
        <v>139</v>
      </c>
      <c r="Q3" s="141" t="s">
        <v>48</v>
      </c>
      <c r="R3" s="141" t="s">
        <v>49</v>
      </c>
      <c r="S3" s="123" t="s">
        <v>5</v>
      </c>
      <c r="T3" s="123" t="s">
        <v>6</v>
      </c>
      <c r="U3" s="123" t="s">
        <v>7</v>
      </c>
      <c r="V3" s="123" t="s">
        <v>122</v>
      </c>
      <c r="W3" s="123" t="s">
        <v>139</v>
      </c>
    </row>
    <row r="4" spans="1:23" ht="19.5" customHeight="1">
      <c r="A4" s="599"/>
      <c r="B4" s="122">
        <v>41834</v>
      </c>
      <c r="C4" s="142" t="s">
        <v>73</v>
      </c>
      <c r="D4" s="142" t="s">
        <v>73</v>
      </c>
      <c r="E4" s="129" t="s">
        <v>8</v>
      </c>
      <c r="F4" s="129" t="s">
        <v>8</v>
      </c>
      <c r="G4" s="129" t="s">
        <v>8</v>
      </c>
      <c r="H4" s="129" t="s">
        <v>50</v>
      </c>
      <c r="I4" s="142" t="s">
        <v>10</v>
      </c>
      <c r="J4" s="654" t="s">
        <v>119</v>
      </c>
      <c r="K4" s="654"/>
      <c r="L4" s="654"/>
      <c r="M4" s="654"/>
      <c r="N4" s="654"/>
      <c r="O4" s="654"/>
      <c r="P4" s="173"/>
      <c r="Q4" s="142" t="s">
        <v>73</v>
      </c>
      <c r="R4" s="142" t="s">
        <v>73</v>
      </c>
      <c r="S4" s="142" t="s">
        <v>73</v>
      </c>
      <c r="T4" s="142" t="s">
        <v>73</v>
      </c>
      <c r="U4" s="142" t="s">
        <v>73</v>
      </c>
      <c r="V4" s="129" t="s">
        <v>50</v>
      </c>
      <c r="W4" s="142" t="s">
        <v>10</v>
      </c>
    </row>
    <row r="5" spans="1:23" ht="18.75" customHeight="1">
      <c r="A5" s="3"/>
      <c r="B5" s="4" t="s">
        <v>11</v>
      </c>
      <c r="C5" s="142"/>
      <c r="D5" s="142"/>
      <c r="E5" s="142"/>
      <c r="F5" s="142"/>
      <c r="G5" s="142"/>
      <c r="H5" s="142"/>
      <c r="I5" s="142"/>
      <c r="J5" s="15"/>
      <c r="K5" s="15"/>
      <c r="L5" s="15"/>
      <c r="M5" s="15"/>
      <c r="N5" s="15"/>
      <c r="O5" s="15"/>
      <c r="P5" s="173"/>
      <c r="Q5" s="142"/>
      <c r="R5" s="142"/>
      <c r="S5" s="142"/>
      <c r="T5" s="142"/>
      <c r="U5" s="142"/>
      <c r="V5" s="142"/>
      <c r="W5" s="142"/>
    </row>
    <row r="6" spans="1:23" ht="18.75" customHeight="1">
      <c r="A6" s="3">
        <v>1</v>
      </c>
      <c r="B6" s="6" t="s">
        <v>12</v>
      </c>
      <c r="C6" s="125">
        <f ca="1">+'Salaries (% Total Expenditure)'!J6</f>
        <v>3185.28</v>
      </c>
      <c r="D6" s="125">
        <f ca="1">+'Salaries (% Total Expenditure)'!K6</f>
        <v>4341.41</v>
      </c>
      <c r="E6" s="125">
        <f ca="1">+'Salaries (% Total Expenditure)'!L6</f>
        <v>4931.3500000000004</v>
      </c>
      <c r="F6" s="125">
        <f ca="1">+'Salaries (% Total Expenditure)'!M6</f>
        <v>5399.74</v>
      </c>
      <c r="G6" s="125">
        <f ca="1">+'Salaries (% Total Expenditure)'!N6</f>
        <v>6458.23</v>
      </c>
      <c r="H6" s="125">
        <f ca="1">+'Salaries (% Total Expenditure)'!O6</f>
        <v>5998.18</v>
      </c>
      <c r="I6" s="125">
        <f ca="1">+'Salaries (% Total Expenditure)'!P6</f>
        <v>8016.17</v>
      </c>
      <c r="J6" s="18">
        <f ca="1">+'Revenue Deficit (%GSDP)'!J6</f>
        <v>4810</v>
      </c>
      <c r="K6" s="18">
        <f ca="1">+'Revenue Deficit (%GSDP)'!K6</f>
        <v>5687</v>
      </c>
      <c r="L6" s="18">
        <f ca="1">+'Revenue Deficit (%GSDP)'!L6</f>
        <v>7474</v>
      </c>
      <c r="M6" s="18">
        <f ca="1">+'Revenue Deficit (%GSDP)'!M6</f>
        <v>9013</v>
      </c>
      <c r="N6" s="18">
        <f ca="1">+'Revenue Deficit (%GSDP)'!N6</f>
        <v>10619</v>
      </c>
      <c r="O6" s="18">
        <f ca="1">+'Revenue Deficit (%GSDP)'!O6</f>
        <v>12091</v>
      </c>
      <c r="P6" s="55">
        <f ca="1">+'Revenue Deficit (%GSDP)'!P6</f>
        <v>13382</v>
      </c>
      <c r="Q6" s="125">
        <f t="shared" ref="Q6:Q17" si="0">+C6/J6*100</f>
        <v>66.222037422037431</v>
      </c>
      <c r="R6" s="125">
        <f t="shared" ref="R6:R17" si="1">+D6/K6*100</f>
        <v>76.339194654475122</v>
      </c>
      <c r="S6" s="125">
        <f t="shared" ref="S6:S17" si="2">+E6/L6*100</f>
        <v>65.980064222638489</v>
      </c>
      <c r="T6" s="125">
        <f>+F6/M6*100</f>
        <v>59.910573615888161</v>
      </c>
      <c r="U6" s="125">
        <f>+G6/N6*100</f>
        <v>60.817685281099912</v>
      </c>
      <c r="V6" s="125">
        <f>+H6/O6*100</f>
        <v>49.60863452154495</v>
      </c>
      <c r="W6" s="125">
        <f>+I6/P6*100</f>
        <v>59.902630399043488</v>
      </c>
    </row>
    <row r="7" spans="1:23" ht="18.75" customHeight="1">
      <c r="A7" s="3">
        <v>2</v>
      </c>
      <c r="B7" s="6" t="s">
        <v>13</v>
      </c>
      <c r="C7" s="125">
        <f ca="1">+'Salaries (% Total Expenditure)'!J7</f>
        <v>14575.2</v>
      </c>
      <c r="D7" s="125">
        <f ca="1">+'Salaries (% Total Expenditure)'!K7</f>
        <v>16722.82</v>
      </c>
      <c r="E7" s="125">
        <f ca="1">+'Salaries (% Total Expenditure)'!L7</f>
        <v>20565.72</v>
      </c>
      <c r="F7" s="125">
        <f ca="1">+'Salaries (% Total Expenditure)'!M7</f>
        <v>29259.66</v>
      </c>
      <c r="G7" s="125">
        <f ca="1">+'Salaries (% Total Expenditure)'!N7</f>
        <v>29792.86</v>
      </c>
      <c r="H7" s="125">
        <f ca="1">+'Salaries (% Total Expenditure)'!O7</f>
        <v>33637.61</v>
      </c>
      <c r="I7" s="125">
        <f ca="1">+'Salaries (% Total Expenditure)'!P7</f>
        <v>40936.720000000001</v>
      </c>
      <c r="J7" s="18">
        <f ca="1">+'Revenue Deficit (%GSDP)'!J7</f>
        <v>71076</v>
      </c>
      <c r="K7" s="18">
        <f ca="1">+'Revenue Deficit (%GSDP)'!K7</f>
        <v>81074</v>
      </c>
      <c r="L7" s="18">
        <f ca="1">+'Revenue Deficit (%GSDP)'!L7</f>
        <v>95975</v>
      </c>
      <c r="M7" s="18">
        <f ca="1">+'Revenue Deficit (%GSDP)'!M7</f>
        <v>112688</v>
      </c>
      <c r="N7" s="18">
        <f ca="1">+'Revenue Deficit (%GSDP)'!N7</f>
        <v>125820</v>
      </c>
      <c r="O7" s="18">
        <f ca="1">+'Revenue Deficit (%GSDP)'!O7</f>
        <v>141621</v>
      </c>
      <c r="P7" s="55">
        <f ca="1">+'Revenue Deficit (%GSDP)'!P7</f>
        <v>162652</v>
      </c>
      <c r="Q7" s="125">
        <f t="shared" si="0"/>
        <v>20.506500084416682</v>
      </c>
      <c r="R7" s="125">
        <f t="shared" si="1"/>
        <v>20.62661272417791</v>
      </c>
      <c r="S7" s="125">
        <f t="shared" si="2"/>
        <v>21.428205261786925</v>
      </c>
      <c r="T7" s="125">
        <f t="shared" ref="T7:T16" si="3">+F7/M7*100</f>
        <v>25.965195939230441</v>
      </c>
      <c r="U7" s="125">
        <f t="shared" ref="U7:U16" si="4">+G7/N7*100</f>
        <v>23.678954061357498</v>
      </c>
      <c r="V7" s="125">
        <f t="shared" ref="V7:W16" si="5">+H7/O7*100</f>
        <v>23.751851773395188</v>
      </c>
      <c r="W7" s="125">
        <f t="shared" si="5"/>
        <v>25.168285665100953</v>
      </c>
    </row>
    <row r="8" spans="1:23" ht="18.75" customHeight="1">
      <c r="A8" s="3">
        <v>3</v>
      </c>
      <c r="B8" s="6" t="s">
        <v>14</v>
      </c>
      <c r="C8" s="125">
        <f ca="1">+'Salaries (% Total Expenditure)'!J8</f>
        <v>9719.19</v>
      </c>
      <c r="D8" s="125">
        <f ca="1">+'Salaries (% Total Expenditure)'!K8</f>
        <v>11606.81</v>
      </c>
      <c r="E8" s="125">
        <f ca="1">+'Salaries (% Total Expenditure)'!L8</f>
        <v>13164.12</v>
      </c>
      <c r="F8" s="125">
        <f ca="1">+'Salaries (% Total Expenditure)'!M8</f>
        <v>15961.6</v>
      </c>
      <c r="G8" s="125">
        <f ca="1">+'Salaries (% Total Expenditure)'!N8</f>
        <v>16200.78</v>
      </c>
      <c r="H8" s="125">
        <f ca="1">+'Salaries (% Total Expenditure)'!O8</f>
        <v>18597.63</v>
      </c>
      <c r="I8" s="125">
        <f ca="1">+'Salaries (% Total Expenditure)'!P8</f>
        <v>20408.990000000002</v>
      </c>
      <c r="J8" s="18">
        <f ca="1">+'Revenue Deficit (%GSDP)'!J8</f>
        <v>33963</v>
      </c>
      <c r="K8" s="18">
        <f ca="1">+'Revenue Deficit (%GSDP)'!K8</f>
        <v>41483</v>
      </c>
      <c r="L8" s="18">
        <f ca="1">+'Revenue Deficit (%GSDP)'!L8</f>
        <v>48189</v>
      </c>
      <c r="M8" s="18">
        <f ca="1">+'Revenue Deficit (%GSDP)'!M8</f>
        <v>57452</v>
      </c>
      <c r="N8" s="18">
        <f ca="1">+'Revenue Deficit (%GSDP)'!N8</f>
        <v>64957</v>
      </c>
      <c r="O8" s="18">
        <f ca="1">+'Revenue Deficit (%GSDP)'!O8</f>
        <v>73710</v>
      </c>
      <c r="P8" s="55">
        <f ca="1">+'Revenue Deficit (%GSDP)'!P8</f>
        <v>82585</v>
      </c>
      <c r="Q8" s="125">
        <f t="shared" si="0"/>
        <v>28.61699496510909</v>
      </c>
      <c r="R8" s="125">
        <f t="shared" si="1"/>
        <v>27.97967842248632</v>
      </c>
      <c r="S8" s="125">
        <f t="shared" si="2"/>
        <v>27.317686608977155</v>
      </c>
      <c r="T8" s="125">
        <f t="shared" si="3"/>
        <v>27.782496692891456</v>
      </c>
      <c r="U8" s="125">
        <f t="shared" si="4"/>
        <v>24.940776205797683</v>
      </c>
      <c r="V8" s="125">
        <f t="shared" si="5"/>
        <v>25.230809930809933</v>
      </c>
      <c r="W8" s="125">
        <f t="shared" si="5"/>
        <v>24.712708118907795</v>
      </c>
    </row>
    <row r="9" spans="1:23" ht="18.75" customHeight="1">
      <c r="A9" s="3">
        <v>4</v>
      </c>
      <c r="B9" s="6" t="s">
        <v>52</v>
      </c>
      <c r="C9" s="125">
        <f ca="1">+'Salaries (% Total Expenditure)'!J9</f>
        <v>15906.32</v>
      </c>
      <c r="D9" s="125">
        <f ca="1">+'Salaries (% Total Expenditure)'!K9</f>
        <v>17011.68</v>
      </c>
      <c r="E9" s="125">
        <f ca="1">+'Salaries (% Total Expenditure)'!L9</f>
        <v>21606.78</v>
      </c>
      <c r="F9" s="125">
        <f ca="1">+'Salaries (% Total Expenditure)'!M9</f>
        <v>24601.98</v>
      </c>
      <c r="G9" s="125">
        <f ca="1">+'Salaries (% Total Expenditure)'!N9</f>
        <v>28644.92</v>
      </c>
      <c r="H9" s="125">
        <f ca="1">+'Salaries (% Total Expenditure)'!O9</f>
        <v>30434.65</v>
      </c>
      <c r="I9" s="125">
        <f ca="1">+'Salaries (% Total Expenditure)'!P9</f>
        <v>36500</v>
      </c>
      <c r="J9" s="18">
        <f ca="1">+'Revenue Deficit (%GSDP)'!J9</f>
        <v>37099</v>
      </c>
      <c r="K9" s="18">
        <f ca="1">+'Revenue Deficit (%GSDP)'!K9</f>
        <v>42315</v>
      </c>
      <c r="L9" s="18">
        <f ca="1">+'Revenue Deficit (%GSDP)'!L9</f>
        <v>48385</v>
      </c>
      <c r="M9" s="18">
        <f ca="1">+'Revenue Deficit (%GSDP)'!M9</f>
        <v>58073</v>
      </c>
      <c r="N9" s="18">
        <f ca="1">+'Revenue Deficit (%GSDP)'!N9</f>
        <v>65759</v>
      </c>
      <c r="O9" s="18">
        <f ca="1">+'Revenue Deficit (%GSDP)'!O9</f>
        <v>75574</v>
      </c>
      <c r="P9" s="55">
        <f ca="1">+'Revenue Deficit (%GSDP)'!P9</f>
        <v>87319</v>
      </c>
      <c r="Q9" s="125">
        <f t="shared" si="0"/>
        <v>42.875333566942501</v>
      </c>
      <c r="R9" s="125">
        <f t="shared" si="1"/>
        <v>40.202481389578168</v>
      </c>
      <c r="S9" s="125">
        <f t="shared" si="2"/>
        <v>44.655947091040609</v>
      </c>
      <c r="T9" s="125">
        <f t="shared" si="3"/>
        <v>42.363886832090643</v>
      </c>
      <c r="U9" s="125">
        <f t="shared" si="4"/>
        <v>43.560455603035322</v>
      </c>
      <c r="V9" s="125">
        <f t="shared" si="5"/>
        <v>40.271323471035018</v>
      </c>
      <c r="W9" s="125">
        <f t="shared" si="5"/>
        <v>41.800753558790184</v>
      </c>
    </row>
    <row r="10" spans="1:23" ht="18.75" customHeight="1">
      <c r="A10" s="3">
        <v>5</v>
      </c>
      <c r="B10" s="6" t="s">
        <v>16</v>
      </c>
      <c r="C10" s="125">
        <f ca="1">+'Salaries (% Total Expenditure)'!J10</f>
        <v>3408.4</v>
      </c>
      <c r="D10" s="125">
        <f ca="1">+'Salaries (% Total Expenditure)'!K10</f>
        <v>4090.16</v>
      </c>
      <c r="E10" s="125">
        <f ca="1">+'Salaries (% Total Expenditure)'!L10</f>
        <v>4609.07</v>
      </c>
      <c r="F10" s="125">
        <f ca="1">+'Salaries (% Total Expenditure)'!M10</f>
        <v>5999.86</v>
      </c>
      <c r="G10" s="125">
        <f ca="1">+'Salaries (% Total Expenditure)'!N10</f>
        <v>6702.4</v>
      </c>
      <c r="H10" s="125">
        <f ca="1">+'Salaries (% Total Expenditure)'!O10</f>
        <v>6821.4</v>
      </c>
      <c r="I10" s="125">
        <f ca="1">+'Salaries (% Total Expenditure)'!P10</f>
        <v>9224.1</v>
      </c>
      <c r="J10" s="18">
        <f ca="1">+'Revenue Deficit (%GSDP)'!J10</f>
        <v>6783</v>
      </c>
      <c r="K10" s="18">
        <f ca="1">+'Revenue Deficit (%GSDP)'!K10</f>
        <v>7399</v>
      </c>
      <c r="L10" s="18">
        <f ca="1">+'Revenue Deficit (%GSDP)'!L10</f>
        <v>8254</v>
      </c>
      <c r="M10" s="18">
        <f ca="1">+'Revenue Deficit (%GSDP)'!M10</f>
        <v>9137</v>
      </c>
      <c r="N10" s="18">
        <f ca="1">+'Revenue Deficit (%GSDP)'!N10</f>
        <v>10504</v>
      </c>
      <c r="O10" s="18">
        <f ca="1">+'Revenue Deficit (%GSDP)'!O10</f>
        <v>11983</v>
      </c>
      <c r="P10" s="55">
        <f ca="1">+'Revenue Deficit (%GSDP)'!P10</f>
        <v>13433.125480627126</v>
      </c>
      <c r="Q10" s="125">
        <f t="shared" si="0"/>
        <v>50.24915229249595</v>
      </c>
      <c r="R10" s="125">
        <f t="shared" si="1"/>
        <v>55.279902689552642</v>
      </c>
      <c r="S10" s="125">
        <f t="shared" si="2"/>
        <v>55.840440998303855</v>
      </c>
      <c r="T10" s="125">
        <f t="shared" si="3"/>
        <v>65.665535733829486</v>
      </c>
      <c r="U10" s="125">
        <f t="shared" si="4"/>
        <v>63.808073115003808</v>
      </c>
      <c r="V10" s="125">
        <f t="shared" si="5"/>
        <v>56.925644663272969</v>
      </c>
      <c r="W10" s="125">
        <f t="shared" si="5"/>
        <v>68.666819299073296</v>
      </c>
    </row>
    <row r="11" spans="1:23" ht="18.75" customHeight="1">
      <c r="A11" s="3">
        <v>6</v>
      </c>
      <c r="B11" s="6" t="s">
        <v>17</v>
      </c>
      <c r="C11" s="125">
        <f ca="1">+'Salaries (% Total Expenditure)'!J11</f>
        <v>2672.06</v>
      </c>
      <c r="D11" s="125">
        <f ca="1">+'Salaries (% Total Expenditure)'!K11</f>
        <v>3263.99</v>
      </c>
      <c r="E11" s="125">
        <f ca="1">+'Salaries (% Total Expenditure)'!L11</f>
        <v>3690.32</v>
      </c>
      <c r="F11" s="125">
        <f ca="1">+'Salaries (% Total Expenditure)'!M11</f>
        <v>4629.12</v>
      </c>
      <c r="G11" s="125">
        <f ca="1">+'Salaries (% Total Expenditure)'!N11</f>
        <v>5742.43</v>
      </c>
      <c r="H11" s="125">
        <f ca="1">+'Salaries (% Total Expenditure)'!O11</f>
        <v>5954.88</v>
      </c>
      <c r="I11" s="125">
        <f ca="1">+'Salaries (% Total Expenditure)'!P11</f>
        <v>9135.9</v>
      </c>
      <c r="J11" s="18">
        <f ca="1">+'Revenue Deficit (%GSDP)'!J11</f>
        <v>9735</v>
      </c>
      <c r="K11" s="18">
        <f ca="1">+'Revenue Deficit (%GSDP)'!K11</f>
        <v>11617</v>
      </c>
      <c r="L11" s="18">
        <f ca="1">+'Revenue Deficit (%GSDP)'!L11</f>
        <v>12709</v>
      </c>
      <c r="M11" s="18">
        <f ca="1">+'Revenue Deficit (%GSDP)'!M11</f>
        <v>14583</v>
      </c>
      <c r="N11" s="18">
        <f ca="1">+'Revenue Deficit (%GSDP)'!N11</f>
        <v>16412</v>
      </c>
      <c r="O11" s="18">
        <f ca="1">+'Revenue Deficit (%GSDP)'!O11</f>
        <v>18135</v>
      </c>
      <c r="P11" s="55">
        <f ca="1">+'Revenue Deficit (%GSDP)'!P11</f>
        <v>20808</v>
      </c>
      <c r="Q11" s="125">
        <f t="shared" si="0"/>
        <v>27.447971237801745</v>
      </c>
      <c r="R11" s="125">
        <f t="shared" si="1"/>
        <v>28.096668675217352</v>
      </c>
      <c r="S11" s="125">
        <f t="shared" si="2"/>
        <v>29.037060350932407</v>
      </c>
      <c r="T11" s="125">
        <f t="shared" si="3"/>
        <v>31.743262703147501</v>
      </c>
      <c r="U11" s="125">
        <f t="shared" si="4"/>
        <v>34.98921520838411</v>
      </c>
      <c r="V11" s="125">
        <f t="shared" si="5"/>
        <v>32.836393713813067</v>
      </c>
      <c r="W11" s="125">
        <f t="shared" si="5"/>
        <v>43.905709342560549</v>
      </c>
    </row>
    <row r="12" spans="1:23" ht="18.75" customHeight="1">
      <c r="A12" s="3">
        <v>7</v>
      </c>
      <c r="B12" s="6" t="s">
        <v>18</v>
      </c>
      <c r="C12" s="125">
        <f ca="1">+'Salaries (% Total Expenditure)'!J12</f>
        <v>2339.2600000000002</v>
      </c>
      <c r="D12" s="125">
        <f ca="1">+'Salaries (% Total Expenditure)'!K12</f>
        <v>2752.83</v>
      </c>
      <c r="E12" s="125">
        <f ca="1">+'Salaries (% Total Expenditure)'!L12</f>
        <v>3333.08</v>
      </c>
      <c r="F12" s="125">
        <f ca="1">+'Salaries (% Total Expenditure)'!M12</f>
        <v>3975.9</v>
      </c>
      <c r="G12" s="125">
        <f ca="1">+'Salaries (% Total Expenditure)'!N12</f>
        <v>4367.1400000000003</v>
      </c>
      <c r="H12" s="125">
        <f ca="1">+'Salaries (% Total Expenditure)'!O12</f>
        <v>5146.71</v>
      </c>
      <c r="I12" s="125">
        <f ca="1">+'Salaries (% Total Expenditure)'!P12</f>
        <v>5753.55</v>
      </c>
      <c r="J12" s="18">
        <f ca="1">+'Revenue Deficit (%GSDP)'!J12</f>
        <v>3816</v>
      </c>
      <c r="K12" s="18">
        <f ca="1">+'Revenue Deficit (%GSDP)'!K12</f>
        <v>4577</v>
      </c>
      <c r="L12" s="18">
        <f ca="1">+'Revenue Deficit (%GSDP)'!L12</f>
        <v>5260</v>
      </c>
      <c r="M12" s="18">
        <f ca="1">+'Revenue Deficit (%GSDP)'!M12</f>
        <v>6388</v>
      </c>
      <c r="N12" s="55">
        <f ca="1">+'Revenue Deficit (%GSDP)'!N12</f>
        <v>7198</v>
      </c>
      <c r="O12" s="18">
        <f ca="1">+'Revenue Deficit (%GSDP)'!O12</f>
        <v>8053</v>
      </c>
      <c r="P12" s="55">
        <f ca="1">+'Revenue Deficit (%GSDP)'!P12</f>
        <v>9366.0879379254438</v>
      </c>
      <c r="Q12" s="125">
        <f t="shared" si="0"/>
        <v>61.301362683438164</v>
      </c>
      <c r="R12" s="125">
        <f t="shared" si="1"/>
        <v>60.144854708324225</v>
      </c>
      <c r="S12" s="125">
        <f t="shared" si="2"/>
        <v>63.36653992395437</v>
      </c>
      <c r="T12" s="125">
        <f t="shared" si="3"/>
        <v>62.240137758296811</v>
      </c>
      <c r="U12" s="125">
        <f t="shared" si="4"/>
        <v>60.671575437621563</v>
      </c>
      <c r="V12" s="125">
        <f t="shared" si="5"/>
        <v>63.910468148516088</v>
      </c>
      <c r="W12" s="125">
        <f t="shared" si="5"/>
        <v>61.429596199951888</v>
      </c>
    </row>
    <row r="13" spans="1:23" ht="18.75" customHeight="1">
      <c r="A13" s="3">
        <v>8</v>
      </c>
      <c r="B13" s="6" t="s">
        <v>19</v>
      </c>
      <c r="C13" s="125">
        <f ca="1">+'Salaries (% Total Expenditure)'!J13</f>
        <v>3483.16</v>
      </c>
      <c r="D13" s="125">
        <f ca="1">+'Salaries (% Total Expenditure)'!K13</f>
        <v>3846.57</v>
      </c>
      <c r="E13" s="125">
        <f ca="1">+'Salaries (% Total Expenditure)'!L13</f>
        <v>4520.13</v>
      </c>
      <c r="F13" s="125">
        <f ca="1">+'Salaries (% Total Expenditure)'!M13</f>
        <v>5577.66</v>
      </c>
      <c r="G13" s="125">
        <f ca="1">+'Salaries (% Total Expenditure)'!N13</f>
        <v>6477.62</v>
      </c>
      <c r="H13" s="125">
        <f ca="1">+'Salaries (% Total Expenditure)'!O13</f>
        <v>8057.2</v>
      </c>
      <c r="I13" s="125">
        <f ca="1">+'Salaries (% Total Expenditure)'!P13</f>
        <v>8071.45</v>
      </c>
      <c r="J13" s="18">
        <f ca="1">+'Revenue Deficit (%GSDP)'!J13</f>
        <v>8075</v>
      </c>
      <c r="K13" s="18">
        <f ca="1">+'Revenue Deficit (%GSDP)'!K13</f>
        <v>9436</v>
      </c>
      <c r="L13" s="18">
        <f ca="1">+'Revenue Deficit (%GSDP)'!L13</f>
        <v>10527</v>
      </c>
      <c r="M13" s="18">
        <f ca="1">+'Revenue Deficit (%GSDP)'!M13</f>
        <v>11759</v>
      </c>
      <c r="N13" s="18">
        <f ca="1">+'Revenue Deficit (%GSDP)'!N13</f>
        <v>13203</v>
      </c>
      <c r="O13" s="18">
        <f ca="1">+'Revenue Deficit (%GSDP)'!O13</f>
        <v>14832</v>
      </c>
      <c r="P13" s="55">
        <f ca="1">+'Revenue Deficit (%GSDP)'!P13</f>
        <v>16703.207706222278</v>
      </c>
      <c r="Q13" s="125">
        <f t="shared" si="0"/>
        <v>43.13510835913312</v>
      </c>
      <c r="R13" s="125">
        <f t="shared" si="1"/>
        <v>40.764836795252229</v>
      </c>
      <c r="S13" s="125">
        <f t="shared" si="2"/>
        <v>42.938444001139928</v>
      </c>
      <c r="T13" s="125">
        <f t="shared" si="3"/>
        <v>47.433115060804489</v>
      </c>
      <c r="U13" s="125">
        <f t="shared" si="4"/>
        <v>49.061728395061728</v>
      </c>
      <c r="V13" s="125">
        <f t="shared" si="5"/>
        <v>54.323085221143472</v>
      </c>
      <c r="W13" s="125">
        <f t="shared" si="5"/>
        <v>48.322754179685042</v>
      </c>
    </row>
    <row r="14" spans="1:23" ht="18.75" customHeight="1">
      <c r="A14" s="3">
        <v>9</v>
      </c>
      <c r="B14" s="6" t="s">
        <v>20</v>
      </c>
      <c r="C14" s="125">
        <f ca="1">+'Salaries (% Total Expenditure)'!J14</f>
        <v>1562.34</v>
      </c>
      <c r="D14" s="125">
        <f ca="1">+'Salaries (% Total Expenditure)'!K14</f>
        <v>1992.58</v>
      </c>
      <c r="E14" s="125">
        <f ca="1">+'Salaries (% Total Expenditure)'!L14</f>
        <v>2514.5300000000002</v>
      </c>
      <c r="F14" s="125">
        <f ca="1">+'Salaries (% Total Expenditure)'!M14</f>
        <v>2468.73</v>
      </c>
      <c r="G14" s="125">
        <f ca="1">+'Salaries (% Total Expenditure)'!N14</f>
        <v>3094.54</v>
      </c>
      <c r="H14" s="125">
        <f ca="1">+'Salaries (% Total Expenditure)'!O14</f>
        <v>3354.84</v>
      </c>
      <c r="I14" s="125">
        <f ca="1">+'Salaries (% Total Expenditure)'!P14</f>
        <v>4572.7</v>
      </c>
      <c r="J14" s="18">
        <f ca="1">+'Revenue Deficit (%GSDP)'!J14</f>
        <v>2506</v>
      </c>
      <c r="K14" s="18">
        <f ca="1">+'Revenue Deficit (%GSDP)'!K14</f>
        <v>3229</v>
      </c>
      <c r="L14" s="18">
        <f ca="1">+'Revenue Deficit (%GSDP)'!L14</f>
        <v>6133</v>
      </c>
      <c r="M14" s="18">
        <f ca="1">+'Revenue Deficit (%GSDP)'!M14</f>
        <v>7412</v>
      </c>
      <c r="N14" s="18">
        <f ca="1">+'Revenue Deficit (%GSDP)'!N14</f>
        <v>8616</v>
      </c>
      <c r="O14" s="18">
        <f ca="1">+'Revenue Deficit (%GSDP)'!O14</f>
        <v>9957</v>
      </c>
      <c r="P14" s="55">
        <f ca="1">+'Revenue Deficit (%GSDP)'!P14</f>
        <v>13261.907960807141</v>
      </c>
      <c r="Q14" s="125">
        <f t="shared" si="0"/>
        <v>62.343974461292895</v>
      </c>
      <c r="R14" s="125">
        <f t="shared" si="1"/>
        <v>61.708888200681322</v>
      </c>
      <c r="S14" s="125">
        <f t="shared" si="2"/>
        <v>41</v>
      </c>
      <c r="T14" s="125">
        <f t="shared" si="3"/>
        <v>33.30720453318942</v>
      </c>
      <c r="U14" s="125">
        <f t="shared" si="4"/>
        <v>35.916202414113279</v>
      </c>
      <c r="V14" s="125">
        <f t="shared" si="5"/>
        <v>33.693281108767707</v>
      </c>
      <c r="W14" s="125">
        <f t="shared" si="5"/>
        <v>34.479955776451476</v>
      </c>
    </row>
    <row r="15" spans="1:23" ht="18.75" customHeight="1">
      <c r="A15" s="3">
        <v>10</v>
      </c>
      <c r="B15" s="6" t="s">
        <v>21</v>
      </c>
      <c r="C15" s="125">
        <f ca="1">+'Salaries (% Total Expenditure)'!J15</f>
        <v>3717.62</v>
      </c>
      <c r="D15" s="125">
        <f ca="1">+'Salaries (% Total Expenditure)'!K15</f>
        <v>4349.92</v>
      </c>
      <c r="E15" s="125">
        <f ca="1">+'Salaries (% Total Expenditure)'!L15</f>
        <v>5563.57</v>
      </c>
      <c r="F15" s="125">
        <f ca="1">+'Salaries (% Total Expenditure)'!M15</f>
        <v>5418.75</v>
      </c>
      <c r="G15" s="125">
        <f ca="1">+'Salaries (% Total Expenditure)'!N15</f>
        <v>6220.38</v>
      </c>
      <c r="H15" s="125">
        <f ca="1">+'Salaries (% Total Expenditure)'!O15</f>
        <v>6715</v>
      </c>
      <c r="I15" s="125">
        <f ca="1">+'Salaries (% Total Expenditure)'!P15</f>
        <v>9038.66</v>
      </c>
      <c r="J15" s="18">
        <f ca="1">+'Revenue Deficit (%GSDP)'!J15</f>
        <v>11797</v>
      </c>
      <c r="K15" s="18">
        <f ca="1">+'Revenue Deficit (%GSDP)'!K15</f>
        <v>13573</v>
      </c>
      <c r="L15" s="18">
        <f ca="1">+'Revenue Deficit (%GSDP)'!L15</f>
        <v>15403</v>
      </c>
      <c r="M15" s="18">
        <f ca="1">+'Revenue Deficit (%GSDP)'!M15</f>
        <v>17868</v>
      </c>
      <c r="N15" s="18">
        <f ca="1">+'Revenue Deficit (%GSDP)'!N15</f>
        <v>20982</v>
      </c>
      <c r="O15" s="18">
        <f ca="1">+'Revenue Deficit (%GSDP)'!O15</f>
        <v>23855</v>
      </c>
      <c r="P15" s="55">
        <f ca="1">+'Revenue Deficit (%GSDP)'!P15</f>
        <v>27499.381963863005</v>
      </c>
      <c r="Q15" s="125">
        <f t="shared" si="0"/>
        <v>31.513266084597781</v>
      </c>
      <c r="R15" s="125">
        <f t="shared" si="1"/>
        <v>32.048331245855742</v>
      </c>
      <c r="S15" s="125">
        <f t="shared" si="2"/>
        <v>36.120041550347331</v>
      </c>
      <c r="T15" s="125">
        <f t="shared" si="3"/>
        <v>30.32656145063801</v>
      </c>
      <c r="U15" s="125">
        <f t="shared" si="4"/>
        <v>29.646268229911353</v>
      </c>
      <c r="V15" s="125">
        <f t="shared" si="5"/>
        <v>28.149234961224064</v>
      </c>
      <c r="W15" s="125">
        <f t="shared" si="5"/>
        <v>32.868593235577883</v>
      </c>
    </row>
    <row r="16" spans="1:23" ht="18.75" customHeight="1">
      <c r="A16" s="3">
        <v>11</v>
      </c>
      <c r="B16" s="6" t="s">
        <v>22</v>
      </c>
      <c r="C16" s="125">
        <f ca="1">+'Salaries (% Total Expenditure)'!J16</f>
        <v>10486.56</v>
      </c>
      <c r="D16" s="125">
        <f ca="1">+'Salaries (% Total Expenditure)'!K16</f>
        <v>11564.65</v>
      </c>
      <c r="E16" s="125">
        <f ca="1">+'Salaries (% Total Expenditure)'!L16</f>
        <v>14196.96</v>
      </c>
      <c r="F16" s="125">
        <f ca="1">+'Salaries (% Total Expenditure)'!M16</f>
        <v>14715.85</v>
      </c>
      <c r="G16" s="125">
        <f ca="1">+'Salaries (% Total Expenditure)'!N16</f>
        <v>17463.52</v>
      </c>
      <c r="H16" s="125">
        <f ca="1">+'Salaries (% Total Expenditure)'!O16</f>
        <v>19262.25</v>
      </c>
      <c r="I16" s="125">
        <f ca="1">+'Salaries (% Total Expenditure)'!P16</f>
        <v>25329.84</v>
      </c>
      <c r="J16" s="18">
        <f ca="1">+'Revenue Deficit (%GSDP)'!J16</f>
        <v>45856</v>
      </c>
      <c r="K16" s="18">
        <f ca="1">+'Revenue Deficit (%GSDP)'!K16</f>
        <v>56025</v>
      </c>
      <c r="L16" s="18">
        <f ca="1">+'Revenue Deficit (%GSDP)'!L16</f>
        <v>70730</v>
      </c>
      <c r="M16" s="18">
        <f ca="1">+'Revenue Deficit (%GSDP)'!M16</f>
        <v>83969</v>
      </c>
      <c r="N16" s="18">
        <f ca="1">+'Revenue Deficit (%GSDP)'!N16</f>
        <v>97696</v>
      </c>
      <c r="O16" s="18">
        <f ca="1">+'Revenue Deficit (%GSDP)'!O16</f>
        <v>113958</v>
      </c>
      <c r="P16" s="55">
        <f ca="1">+'Revenue Deficit (%GSDP)'!P16</f>
        <v>132969</v>
      </c>
      <c r="Q16" s="125">
        <f t="shared" si="0"/>
        <v>22.868457780879272</v>
      </c>
      <c r="R16" s="125">
        <f t="shared" si="1"/>
        <v>20.641945560017849</v>
      </c>
      <c r="S16" s="125">
        <f t="shared" si="2"/>
        <v>20.072048635656721</v>
      </c>
      <c r="T16" s="125">
        <f t="shared" si="3"/>
        <v>17.525336731412782</v>
      </c>
      <c r="U16" s="125">
        <f t="shared" si="4"/>
        <v>17.875368490009826</v>
      </c>
      <c r="V16" s="125">
        <f t="shared" si="5"/>
        <v>16.902937924498499</v>
      </c>
      <c r="W16" s="125">
        <f t="shared" si="5"/>
        <v>19.049432574509847</v>
      </c>
    </row>
    <row r="17" spans="1:23" s="75" customFormat="1" ht="18.75" customHeight="1">
      <c r="A17" s="72"/>
      <c r="B17" s="4" t="s">
        <v>23</v>
      </c>
      <c r="C17" s="126">
        <f t="shared" ref="C17:O17" si="6">SUM(C6:C16)</f>
        <v>71055.39</v>
      </c>
      <c r="D17" s="126">
        <f t="shared" si="6"/>
        <v>81543.42</v>
      </c>
      <c r="E17" s="126">
        <f t="shared" si="6"/>
        <v>98695.63</v>
      </c>
      <c r="F17" s="126">
        <f t="shared" si="6"/>
        <v>118008.84999999999</v>
      </c>
      <c r="G17" s="126">
        <f t="shared" si="6"/>
        <v>131164.81999999998</v>
      </c>
      <c r="H17" s="126">
        <f t="shared" si="6"/>
        <v>143980.35</v>
      </c>
      <c r="I17" s="126">
        <f ca="1">SUM(I6:I16)</f>
        <v>176988.08000000002</v>
      </c>
      <c r="J17" s="66">
        <f t="shared" si="6"/>
        <v>235516</v>
      </c>
      <c r="K17" s="66">
        <f t="shared" si="6"/>
        <v>276415</v>
      </c>
      <c r="L17" s="66">
        <f t="shared" si="6"/>
        <v>329039</v>
      </c>
      <c r="M17" s="66">
        <f t="shared" si="6"/>
        <v>388342</v>
      </c>
      <c r="N17" s="66">
        <f t="shared" si="6"/>
        <v>441766</v>
      </c>
      <c r="O17" s="66">
        <f t="shared" si="6"/>
        <v>503769</v>
      </c>
      <c r="P17" s="242">
        <f ca="1">SUM(P6:P16)</f>
        <v>579978.71104944497</v>
      </c>
      <c r="Q17" s="126">
        <f t="shared" si="0"/>
        <v>30.170090354795427</v>
      </c>
      <c r="R17" s="126">
        <f t="shared" si="1"/>
        <v>29.500359965993162</v>
      </c>
      <c r="S17" s="126">
        <f t="shared" si="2"/>
        <v>29.99511608046463</v>
      </c>
      <c r="T17" s="126">
        <f>F17/M17*100</f>
        <v>30.387866880224131</v>
      </c>
      <c r="U17" s="126">
        <f>G17/N17*100</f>
        <v>29.691017416460291</v>
      </c>
      <c r="V17" s="126">
        <f>H17/O17*100</f>
        <v>28.580629216962539</v>
      </c>
      <c r="W17" s="126">
        <f>I17/P17*100</f>
        <v>30.516306310579605</v>
      </c>
    </row>
    <row r="18" spans="1:23" ht="18.75" customHeight="1">
      <c r="A18" s="3"/>
      <c r="B18" s="4" t="s">
        <v>189</v>
      </c>
      <c r="C18" s="147"/>
      <c r="D18" s="147"/>
      <c r="E18" s="147"/>
      <c r="F18" s="147"/>
      <c r="G18" s="147"/>
      <c r="H18" s="147"/>
      <c r="I18" s="147"/>
      <c r="J18" s="66"/>
      <c r="K18" s="66"/>
      <c r="L18" s="66"/>
      <c r="M18" s="66"/>
      <c r="N18" s="66"/>
      <c r="O18" s="66"/>
      <c r="P18" s="242"/>
      <c r="Q18" s="125"/>
      <c r="R18" s="125"/>
      <c r="S18" s="125"/>
      <c r="T18" s="125"/>
      <c r="U18" s="125"/>
      <c r="V18" s="125"/>
      <c r="W18" s="125"/>
    </row>
    <row r="19" spans="1:23" ht="18.75" customHeight="1">
      <c r="A19" s="3">
        <v>12</v>
      </c>
      <c r="B19" s="6" t="s">
        <v>25</v>
      </c>
      <c r="C19" s="125">
        <f ca="1">+'Salaries (% Total Expenditure)'!J19</f>
        <v>69678.210000000006</v>
      </c>
      <c r="D19" s="125">
        <f ca="1">+'Salaries (% Total Expenditure)'!K19</f>
        <v>75634.05</v>
      </c>
      <c r="E19" s="125">
        <f ca="1">+'Salaries (% Total Expenditure)'!L19</f>
        <v>78830.81</v>
      </c>
      <c r="F19" s="125">
        <f ca="1">+'Salaries (% Total Expenditure)'!M19</f>
        <v>92972.36</v>
      </c>
      <c r="G19" s="125">
        <f ca="1">+'Salaries (% Total Expenditure)'!N19</f>
        <v>109120.55</v>
      </c>
      <c r="H19" s="125">
        <f ca="1">+'Salaries (% Total Expenditure)'!O19</f>
        <v>121764.09</v>
      </c>
      <c r="I19" s="125">
        <f ca="1">+'Salaries (% Total Expenditure)'!P19</f>
        <v>152722</v>
      </c>
      <c r="J19" s="18">
        <f ca="1">+'Revenue Deficit (%GSDP)'!J19</f>
        <v>364813</v>
      </c>
      <c r="K19" s="18">
        <f ca="1">+'Revenue Deficit (%GSDP)'!K19</f>
        <v>426765</v>
      </c>
      <c r="L19" s="18">
        <f ca="1">+'Revenue Deficit (%GSDP)'!L19</f>
        <v>476835</v>
      </c>
      <c r="M19" s="18">
        <f ca="1">+'Revenue Deficit (%GSDP)'!M19</f>
        <v>583762</v>
      </c>
      <c r="N19" s="18">
        <f ca="1">+'Revenue Deficit (%GSDP)'!N19</f>
        <v>662592</v>
      </c>
      <c r="O19" s="18">
        <f ca="1">+'Revenue Deficit (%GSDP)'!O19</f>
        <v>754409</v>
      </c>
      <c r="P19" s="55">
        <f ca="1">+'Revenue Deficit (%GSDP)'!P19</f>
        <v>857364</v>
      </c>
      <c r="Q19" s="125">
        <f t="shared" ref="Q19:Q36" si="7">+C19/J19*100</f>
        <v>19.099705876709439</v>
      </c>
      <c r="R19" s="125">
        <f t="shared" ref="R19:R36" si="8">+D19/K19*100</f>
        <v>17.722645952690591</v>
      </c>
      <c r="S19" s="125">
        <f t="shared" ref="S19:S36" si="9">+E19/L19*100</f>
        <v>16.532093910891607</v>
      </c>
      <c r="T19" s="125">
        <f>+F19/M19*100</f>
        <v>15.92641521716042</v>
      </c>
      <c r="U19" s="125">
        <f>+G19/N19*100</f>
        <v>16.468739435429345</v>
      </c>
      <c r="V19" s="125">
        <f>+H19/O19*100</f>
        <v>16.140328389507548</v>
      </c>
      <c r="W19" s="125">
        <f>+I19/P19*100</f>
        <v>17.812970920169263</v>
      </c>
    </row>
    <row r="20" spans="1:23" ht="18.75" customHeight="1">
      <c r="A20" s="3">
        <v>13</v>
      </c>
      <c r="B20" s="6" t="s">
        <v>26</v>
      </c>
      <c r="C20" s="125">
        <f ca="1">+'Salaries (% Total Expenditure)'!J20</f>
        <v>29939.34</v>
      </c>
      <c r="D20" s="125">
        <f ca="1">+'Salaries (% Total Expenditure)'!K20</f>
        <v>35498.980000000003</v>
      </c>
      <c r="E20" s="125">
        <f ca="1">+'Salaries (% Total Expenditure)'!L20</f>
        <v>40813.040000000001</v>
      </c>
      <c r="F20" s="125">
        <f ca="1">+'Salaries (% Total Expenditure)'!M20</f>
        <v>48514.49</v>
      </c>
      <c r="G20" s="125">
        <f ca="1">+'Salaries (% Total Expenditure)'!N20</f>
        <v>57257.57</v>
      </c>
      <c r="H20" s="125">
        <f ca="1">+'Salaries (% Total Expenditure)'!O20</f>
        <v>66136.62</v>
      </c>
      <c r="I20" s="125">
        <f ca="1">+'Salaries (% Total Expenditure)'!P20</f>
        <v>88849.2</v>
      </c>
      <c r="J20" s="18">
        <f ca="1">+'Revenue Deficit (%GSDP)'!J20</f>
        <v>113680</v>
      </c>
      <c r="K20" s="18">
        <f ca="1">+'Revenue Deficit (%GSDP)'!K20</f>
        <v>142279</v>
      </c>
      <c r="L20" s="18">
        <f ca="1">+'Revenue Deficit (%GSDP)'!L20</f>
        <v>162924</v>
      </c>
      <c r="M20" s="18">
        <f ca="1">+'Revenue Deficit (%GSDP)'!M20</f>
        <v>204289</v>
      </c>
      <c r="N20" s="18">
        <f ca="1">+'Revenue Deficit (%GSDP)'!N20</f>
        <v>247318</v>
      </c>
      <c r="O20" s="18">
        <f ca="1">+'Revenue Deficit (%GSDP)'!O20</f>
        <v>313995</v>
      </c>
      <c r="P20" s="55">
        <f ca="1">+'Revenue Deficit (%GSDP)'!P20</f>
        <v>368337</v>
      </c>
      <c r="Q20" s="125">
        <f t="shared" si="7"/>
        <v>26.336505981703027</v>
      </c>
      <c r="R20" s="125">
        <f t="shared" si="8"/>
        <v>24.950259701009987</v>
      </c>
      <c r="S20" s="125">
        <f t="shared" si="9"/>
        <v>25.050354766639661</v>
      </c>
      <c r="T20" s="125">
        <f t="shared" ref="T20:T35" si="10">+F20/M20*100</f>
        <v>23.747969787898516</v>
      </c>
      <c r="U20" s="125">
        <f t="shared" ref="U20:U35" si="11">+G20/N20*100</f>
        <v>23.151396178199725</v>
      </c>
      <c r="V20" s="125">
        <f t="shared" ref="V20:W35" si="12">+H20/O20*100</f>
        <v>21.062953231739357</v>
      </c>
      <c r="W20" s="125">
        <f t="shared" si="12"/>
        <v>24.121714625465266</v>
      </c>
    </row>
    <row r="21" spans="1:23" ht="18.75" customHeight="1">
      <c r="A21" s="3">
        <v>14</v>
      </c>
      <c r="B21" s="6" t="s">
        <v>27</v>
      </c>
      <c r="C21" s="125">
        <f ca="1">+'Salaries (% Total Expenditure)'!J21</f>
        <v>13970.54</v>
      </c>
      <c r="D21" s="125">
        <f ca="1">+'Salaries (% Total Expenditure)'!K21</f>
        <v>17226.07</v>
      </c>
      <c r="E21" s="125">
        <f ca="1">+'Salaries (% Total Expenditure)'!L21</f>
        <v>20910.439999999999</v>
      </c>
      <c r="F21" s="125">
        <f ca="1">+'Salaries (% Total Expenditure)'!M21</f>
        <v>22876.15</v>
      </c>
      <c r="G21" s="125">
        <f ca="1">+'Salaries (% Total Expenditure)'!N21</f>
        <v>27957.99</v>
      </c>
      <c r="H21" s="125">
        <f ca="1">+'Salaries (% Total Expenditure)'!O21</f>
        <v>33779.160000000003</v>
      </c>
      <c r="I21" s="125">
        <f ca="1">+'Salaries (% Total Expenditure)'!P21</f>
        <v>44169</v>
      </c>
      <c r="J21" s="18">
        <f ca="1">+'Revenue Deficit (%GSDP)'!J21</f>
        <v>80255</v>
      </c>
      <c r="K21" s="18">
        <f ca="1">+'Revenue Deficit (%GSDP)'!K21</f>
        <v>96972</v>
      </c>
      <c r="L21" s="18">
        <f ca="1">+'Revenue Deficit (%GSDP)'!L21</f>
        <v>99364</v>
      </c>
      <c r="M21" s="18">
        <f ca="1">+'Revenue Deficit (%GSDP)'!M21</f>
        <v>119420</v>
      </c>
      <c r="N21" s="18">
        <f ca="1">+'Revenue Deficit (%GSDP)'!N21</f>
        <v>132872</v>
      </c>
      <c r="O21" s="18">
        <f ca="1">+'Revenue Deficit (%GSDP)'!O21</f>
        <v>153621</v>
      </c>
      <c r="P21" s="55">
        <f ca="1">+'Revenue Deficit (%GSDP)'!P21</f>
        <v>175961</v>
      </c>
      <c r="Q21" s="125">
        <f t="shared" si="7"/>
        <v>17.407687994517477</v>
      </c>
      <c r="R21" s="125">
        <f t="shared" si="8"/>
        <v>17.763962793383655</v>
      </c>
      <c r="S21" s="125">
        <f t="shared" si="9"/>
        <v>21.044281631174265</v>
      </c>
      <c r="T21" s="125">
        <f t="shared" si="10"/>
        <v>19.156045888460895</v>
      </c>
      <c r="U21" s="125">
        <f t="shared" si="11"/>
        <v>21.041295382021797</v>
      </c>
      <c r="V21" s="125">
        <f t="shared" si="12"/>
        <v>21.988634366395221</v>
      </c>
      <c r="W21" s="125">
        <f t="shared" si="12"/>
        <v>25.101585010314786</v>
      </c>
    </row>
    <row r="22" spans="1:23" s="20" customFormat="1" ht="18.75" customHeight="1">
      <c r="A22" s="3">
        <v>15</v>
      </c>
      <c r="B22" s="6" t="s">
        <v>28</v>
      </c>
      <c r="C22" s="125">
        <f ca="1">+'Salaries (% Total Expenditure)'!J22</f>
        <v>2826.47</v>
      </c>
      <c r="D22" s="125">
        <f ca="1">+'Salaries (% Total Expenditure)'!K22</f>
        <v>3647.92</v>
      </c>
      <c r="E22" s="125">
        <f ca="1">+'Salaries (% Total Expenditure)'!L22</f>
        <v>4556.07</v>
      </c>
      <c r="F22" s="125">
        <f ca="1">+'Salaries (% Total Expenditure)'!M22</f>
        <v>6230</v>
      </c>
      <c r="G22" s="125">
        <f ca="1">+'Salaries (% Total Expenditure)'!N22</f>
        <v>6953.57</v>
      </c>
      <c r="H22" s="125">
        <f ca="1">+'Salaries (% Total Expenditure)'!O22</f>
        <v>8988.74</v>
      </c>
      <c r="I22" s="125">
        <f ca="1">+'Salaries (% Total Expenditure)'!P22</f>
        <v>9886.49</v>
      </c>
      <c r="J22" s="18">
        <f ca="1">+'Revenue Deficit (%GSDP)'!J22</f>
        <v>19565</v>
      </c>
      <c r="K22" s="18">
        <f ca="1">+'Revenue Deficit (%GSDP)'!K22</f>
        <v>25414</v>
      </c>
      <c r="L22" s="18">
        <f ca="1">+'Revenue Deficit (%GSDP)'!L22</f>
        <v>29126</v>
      </c>
      <c r="M22" s="18">
        <f ca="1">+'Revenue Deficit (%GSDP)'!M22</f>
        <v>33605</v>
      </c>
      <c r="N22" s="18">
        <f ca="1">+'Revenue Deficit (%GSDP)'!N22</f>
        <v>36025</v>
      </c>
      <c r="O22" s="18">
        <f ca="1">+'Revenue Deficit (%GSDP)'!O22</f>
        <v>34965</v>
      </c>
      <c r="P22" s="55">
        <f ca="1">+'Revenue Deficit (%GSDP)'!P22</f>
        <v>39302.375411462228</v>
      </c>
      <c r="Q22" s="125">
        <f t="shared" si="7"/>
        <v>14.446562739585994</v>
      </c>
      <c r="R22" s="125">
        <f t="shared" si="8"/>
        <v>14.353978122294798</v>
      </c>
      <c r="S22" s="125">
        <f t="shared" si="9"/>
        <v>15.642621712559224</v>
      </c>
      <c r="T22" s="125">
        <f t="shared" si="10"/>
        <v>18.538907900610027</v>
      </c>
      <c r="U22" s="125">
        <f t="shared" si="11"/>
        <v>19.302068008327549</v>
      </c>
      <c r="V22" s="125">
        <f t="shared" si="12"/>
        <v>25.707822107822111</v>
      </c>
      <c r="W22" s="125">
        <f t="shared" si="12"/>
        <v>25.154942663126366</v>
      </c>
    </row>
    <row r="23" spans="1:23" ht="18.75" customHeight="1">
      <c r="A23" s="3">
        <v>16</v>
      </c>
      <c r="B23" s="6" t="s">
        <v>29</v>
      </c>
      <c r="C23" s="125">
        <f ca="1">+'Salaries (% Total Expenditure)'!J23</f>
        <v>39734.589999999997</v>
      </c>
      <c r="D23" s="125">
        <f ca="1">+'Salaries (% Total Expenditure)'!K23</f>
        <v>48031.34</v>
      </c>
      <c r="E23" s="125">
        <f ca="1">+'Salaries (% Total Expenditure)'!L23</f>
        <v>55750.46</v>
      </c>
      <c r="F23" s="125">
        <f ca="1">+'Salaries (% Total Expenditure)'!M23</f>
        <v>66568.31</v>
      </c>
      <c r="G23" s="125">
        <f ca="1">+'Salaries (% Total Expenditure)'!N23</f>
        <v>74161.5</v>
      </c>
      <c r="H23" s="125">
        <f ca="1">+'Salaries (% Total Expenditure)'!O23</f>
        <v>92143.14</v>
      </c>
      <c r="I23" s="125">
        <f ca="1">+'Salaries (% Total Expenditure)'!P23</f>
        <v>104077.51</v>
      </c>
      <c r="J23" s="18">
        <f ca="1">+'Revenue Deficit (%GSDP)'!J23</f>
        <v>329285</v>
      </c>
      <c r="K23" s="18">
        <f ca="1">+'Revenue Deficit (%GSDP)'!K23</f>
        <v>367912</v>
      </c>
      <c r="L23" s="18">
        <f ca="1">+'Revenue Deficit (%GSDP)'!L23</f>
        <v>431262</v>
      </c>
      <c r="M23" s="18">
        <f ca="1">+'Revenue Deficit (%GSDP)'!M23</f>
        <v>521519</v>
      </c>
      <c r="N23" s="55">
        <f ca="1">+'Revenue Deficit (%GSDP)'!N23</f>
        <v>594563</v>
      </c>
      <c r="O23" s="18">
        <f ca="1">+'Revenue Deficit (%GSDP)'!O23</f>
        <v>670016</v>
      </c>
      <c r="P23" s="55">
        <f ca="1">+'Revenue Deficit (%GSDP)'!P23</f>
        <v>776933.66658041347</v>
      </c>
      <c r="Q23" s="125">
        <f t="shared" si="7"/>
        <v>12.066929863188422</v>
      </c>
      <c r="R23" s="125">
        <f t="shared" si="8"/>
        <v>13.055116440888037</v>
      </c>
      <c r="S23" s="125">
        <f t="shared" si="9"/>
        <v>12.927283182844768</v>
      </c>
      <c r="T23" s="125">
        <f t="shared" si="10"/>
        <v>12.764311559118651</v>
      </c>
      <c r="U23" s="125">
        <f t="shared" si="11"/>
        <v>12.473278693763319</v>
      </c>
      <c r="V23" s="125">
        <f t="shared" si="12"/>
        <v>13.752379047664535</v>
      </c>
      <c r="W23" s="125">
        <f t="shared" si="12"/>
        <v>13.395932558578069</v>
      </c>
    </row>
    <row r="24" spans="1:23" ht="18.75" customHeight="1">
      <c r="A24" s="3">
        <v>17</v>
      </c>
      <c r="B24" s="6" t="s">
        <v>30</v>
      </c>
      <c r="C24" s="125">
        <f ca="1">+'Salaries (% Total Expenditure)'!J24</f>
        <v>21240</v>
      </c>
      <c r="D24" s="125">
        <f ca="1">+'Salaries (% Total Expenditure)'!K24</f>
        <v>25369</v>
      </c>
      <c r="E24" s="125">
        <f ca="1">+'Salaries (% Total Expenditure)'!L24</f>
        <v>31305</v>
      </c>
      <c r="F24" s="125">
        <f ca="1">+'Salaries (% Total Expenditure)'!M24</f>
        <v>33063</v>
      </c>
      <c r="G24" s="125">
        <f ca="1">+'Salaries (% Total Expenditure)'!N24</f>
        <v>38014</v>
      </c>
      <c r="H24" s="125">
        <f ca="1">+'Salaries (% Total Expenditure)'!O24</f>
        <v>44185</v>
      </c>
      <c r="I24" s="125">
        <f ca="1">+'Salaries (% Total Expenditure)'!P24</f>
        <v>53073</v>
      </c>
      <c r="J24" s="18">
        <f ca="1">+'Revenue Deficit (%GSDP)'!J24</f>
        <v>151596</v>
      </c>
      <c r="K24" s="18">
        <f ca="1">+'Revenue Deficit (%GSDP)'!K24</f>
        <v>182522</v>
      </c>
      <c r="L24" s="18">
        <f ca="1">+'Revenue Deficit (%GSDP)'!L24</f>
        <v>223600</v>
      </c>
      <c r="M24" s="18">
        <f ca="1">+'Revenue Deficit (%GSDP)'!M24</f>
        <v>260621</v>
      </c>
      <c r="N24" s="18">
        <f ca="1">+'Revenue Deficit (%GSDP)'!N24</f>
        <v>301959</v>
      </c>
      <c r="O24" s="18">
        <f ca="1">+'Revenue Deficit (%GSDP)'!O24</f>
        <v>345238</v>
      </c>
      <c r="P24" s="55">
        <f ca="1">+'Revenue Deficit (%GSDP)'!P24</f>
        <v>392894</v>
      </c>
      <c r="Q24" s="125">
        <f t="shared" si="7"/>
        <v>14.010923771075753</v>
      </c>
      <c r="R24" s="125">
        <f t="shared" si="8"/>
        <v>13.899146404269075</v>
      </c>
      <c r="S24" s="125">
        <f t="shared" si="9"/>
        <v>14.000447227191412</v>
      </c>
      <c r="T24" s="125">
        <f t="shared" si="10"/>
        <v>12.686237870317434</v>
      </c>
      <c r="U24" s="125">
        <f t="shared" si="11"/>
        <v>12.589126338343949</v>
      </c>
      <c r="V24" s="125">
        <f t="shared" si="12"/>
        <v>12.798417323701331</v>
      </c>
      <c r="W24" s="125">
        <f t="shared" si="12"/>
        <v>13.508223592113902</v>
      </c>
    </row>
    <row r="25" spans="1:23" ht="18.75" customHeight="1">
      <c r="A25" s="3">
        <v>18</v>
      </c>
      <c r="B25" s="6" t="s">
        <v>31</v>
      </c>
      <c r="C25" s="125">
        <f ca="1">+'Salaries (% Total Expenditure)'!J25</f>
        <v>14013.18</v>
      </c>
      <c r="D25" s="125">
        <f ca="1">+'Salaries (% Total Expenditure)'!K25</f>
        <v>16346.36</v>
      </c>
      <c r="E25" s="125">
        <f ca="1">+'Salaries (% Total Expenditure)'!L25</f>
        <v>18151.259999999998</v>
      </c>
      <c r="F25" s="125">
        <f ca="1">+'Salaries (% Total Expenditure)'!M25</f>
        <v>20916.599999999999</v>
      </c>
      <c r="G25" s="125">
        <f ca="1">+'Salaries (% Total Expenditure)'!N25</f>
        <v>24443.45</v>
      </c>
      <c r="H25" s="125">
        <f ca="1">+'Salaries (% Total Expenditure)'!O25</f>
        <v>28319.1</v>
      </c>
      <c r="I25" s="125">
        <f ca="1">+'Salaries (% Total Expenditure)'!P25</f>
        <v>37739.879999999997</v>
      </c>
      <c r="J25" s="18">
        <f ca="1">+'Revenue Deficit (%GSDP)'!J25</f>
        <v>83950</v>
      </c>
      <c r="K25" s="18">
        <f ca="1">+'Revenue Deficit (%GSDP)'!K25</f>
        <v>87794</v>
      </c>
      <c r="L25" s="18">
        <f ca="1">+'Revenue Deficit (%GSDP)'!L25</f>
        <v>100621</v>
      </c>
      <c r="M25" s="18">
        <f ca="1">+'Revenue Deficit (%GSDP)'!M25</f>
        <v>127281</v>
      </c>
      <c r="N25" s="18">
        <f ca="1">+'Revenue Deficit (%GSDP)'!N25</f>
        <v>143891</v>
      </c>
      <c r="O25" s="18">
        <f ca="1">+'Revenue Deficit (%GSDP)'!O25</f>
        <v>164876</v>
      </c>
      <c r="P25" s="55">
        <f ca="1">+'Revenue Deficit (%GSDP)'!P25</f>
        <v>189208</v>
      </c>
      <c r="Q25" s="125">
        <f t="shared" si="7"/>
        <v>16.692293031566408</v>
      </c>
      <c r="R25" s="125">
        <f t="shared" si="8"/>
        <v>18.618994464314191</v>
      </c>
      <c r="S25" s="125">
        <f t="shared" si="9"/>
        <v>18.039236342314226</v>
      </c>
      <c r="T25" s="125">
        <f t="shared" si="10"/>
        <v>16.4334032573597</v>
      </c>
      <c r="U25" s="125">
        <f t="shared" si="11"/>
        <v>16.987476631616989</v>
      </c>
      <c r="V25" s="125">
        <f t="shared" si="12"/>
        <v>17.175998932531115</v>
      </c>
      <c r="W25" s="125">
        <f t="shared" si="12"/>
        <v>19.946239059659209</v>
      </c>
    </row>
    <row r="26" spans="1:23" ht="18.75" customHeight="1">
      <c r="A26" s="3">
        <v>19</v>
      </c>
      <c r="B26" s="6" t="s">
        <v>32</v>
      </c>
      <c r="C26" s="125">
        <f ca="1">+'Salaries (% Total Expenditure)'!J26</f>
        <v>46780</v>
      </c>
      <c r="D26" s="125">
        <f ca="1">+'Salaries (% Total Expenditure)'!K26</f>
        <v>52261</v>
      </c>
      <c r="E26" s="125">
        <f ca="1">+'Salaries (% Total Expenditure)'!L26</f>
        <v>60655</v>
      </c>
      <c r="F26" s="125">
        <f ca="1">+'Salaries (% Total Expenditure)'!M26</f>
        <v>69127</v>
      </c>
      <c r="G26" s="125">
        <f ca="1">+'Salaries (% Total Expenditure)'!N26</f>
        <v>82436</v>
      </c>
      <c r="H26" s="125">
        <f ca="1">+'Salaries (% Total Expenditure)'!O26</f>
        <v>92874</v>
      </c>
      <c r="I26" s="125">
        <f ca="1">+'Salaries (% Total Expenditure)'!P26</f>
        <v>115770</v>
      </c>
      <c r="J26" s="18">
        <f ca="1">+'Revenue Deficit (%GSDP)'!J26</f>
        <v>270629</v>
      </c>
      <c r="K26" s="18">
        <f ca="1">+'Revenue Deficit (%GSDP)'!K26</f>
        <v>310312</v>
      </c>
      <c r="L26" s="18">
        <f ca="1">+'Revenue Deficit (%GSDP)'!L26</f>
        <v>337559</v>
      </c>
      <c r="M26" s="18">
        <f ca="1">+'Revenue Deficit (%GSDP)'!M26</f>
        <v>410703</v>
      </c>
      <c r="N26" s="18">
        <f ca="1">+'Revenue Deficit (%GSDP)'!N26</f>
        <v>458894</v>
      </c>
      <c r="O26" s="18">
        <f ca="1">+'Revenue Deficit (%GSDP)'!O26</f>
        <v>524502</v>
      </c>
      <c r="P26" s="55">
        <f ca="1">+'Revenue Deficit (%GSDP)'!P26</f>
        <v>593811</v>
      </c>
      <c r="Q26" s="125">
        <f t="shared" si="7"/>
        <v>17.285656747798647</v>
      </c>
      <c r="R26" s="125">
        <f t="shared" si="8"/>
        <v>16.841437005336566</v>
      </c>
      <c r="S26" s="125">
        <f t="shared" si="9"/>
        <v>17.968710655026232</v>
      </c>
      <c r="T26" s="125">
        <f t="shared" si="10"/>
        <v>16.831384236297275</v>
      </c>
      <c r="U26" s="125">
        <f t="shared" si="11"/>
        <v>17.964061417233609</v>
      </c>
      <c r="V26" s="125">
        <f t="shared" si="12"/>
        <v>17.707082146493246</v>
      </c>
      <c r="W26" s="125">
        <f t="shared" si="12"/>
        <v>19.496102295174726</v>
      </c>
    </row>
    <row r="27" spans="1:23" ht="18.75" customHeight="1">
      <c r="A27" s="3">
        <v>20</v>
      </c>
      <c r="B27" s="6" t="s">
        <v>33</v>
      </c>
      <c r="C27" s="125">
        <f ca="1">+'Salaries (% Total Expenditure)'!J27</f>
        <v>27259.37</v>
      </c>
      <c r="D27" s="125">
        <f ca="1">+'Salaries (% Total Expenditure)'!K27</f>
        <v>30903.15</v>
      </c>
      <c r="E27" s="125">
        <f ca="1">+'Salaries (% Total Expenditure)'!L27</f>
        <v>34068.44</v>
      </c>
      <c r="F27" s="125">
        <f ca="1">+'Salaries (% Total Expenditure)'!M27</f>
        <v>38790.239999999998</v>
      </c>
      <c r="G27" s="125">
        <f ca="1">+'Salaries (% Total Expenditure)'!N27</f>
        <v>50896.07</v>
      </c>
      <c r="H27" s="125">
        <f ca="1">+'Salaries (% Total Expenditure)'!O27</f>
        <v>58976.21</v>
      </c>
      <c r="I27" s="125">
        <f ca="1">+'Salaries (% Total Expenditure)'!P27</f>
        <v>61175</v>
      </c>
      <c r="J27" s="18">
        <f ca="1">+'Revenue Deficit (%GSDP)'!J27</f>
        <v>175141</v>
      </c>
      <c r="K27" s="18">
        <f ca="1">+'Revenue Deficit (%GSDP)'!K27</f>
        <v>202783</v>
      </c>
      <c r="L27" s="18">
        <f ca="1">+'Revenue Deficit (%GSDP)'!L27</f>
        <v>231999</v>
      </c>
      <c r="M27" s="18">
        <f ca="1">+'Revenue Deficit (%GSDP)'!M27</f>
        <v>263773</v>
      </c>
      <c r="N27" s="18">
        <f ca="1">+'Revenue Deficit (%GSDP)'!N27</f>
        <v>307906</v>
      </c>
      <c r="O27" s="18">
        <f ca="1">+'Revenue Deficit (%GSDP)'!O27</f>
        <v>349338</v>
      </c>
      <c r="P27" s="55">
        <f ca="1">+'Revenue Deficit (%GSDP)'!P27</f>
        <v>401072.42420974676</v>
      </c>
      <c r="Q27" s="125">
        <f t="shared" si="7"/>
        <v>15.564242524594468</v>
      </c>
      <c r="R27" s="125">
        <f t="shared" si="8"/>
        <v>15.239517119285148</v>
      </c>
      <c r="S27" s="125">
        <f t="shared" si="9"/>
        <v>14.684735710067716</v>
      </c>
      <c r="T27" s="125">
        <f t="shared" si="10"/>
        <v>14.705917588229273</v>
      </c>
      <c r="U27" s="125">
        <f t="shared" si="11"/>
        <v>16.529742843595123</v>
      </c>
      <c r="V27" s="125">
        <f t="shared" si="12"/>
        <v>16.882277335989787</v>
      </c>
      <c r="W27" s="125">
        <f t="shared" si="12"/>
        <v>15.252856169440268</v>
      </c>
    </row>
    <row r="28" spans="1:23" ht="18.75" customHeight="1">
      <c r="A28" s="3">
        <v>21</v>
      </c>
      <c r="B28" s="6" t="s">
        <v>34</v>
      </c>
      <c r="C28" s="125">
        <f ca="1">+'Salaries (% Total Expenditure)'!J28</f>
        <v>33590.75</v>
      </c>
      <c r="D28" s="125">
        <f ca="1">+'Salaries (% Total Expenditure)'!K28</f>
        <v>38089.22</v>
      </c>
      <c r="E28" s="125">
        <f ca="1">+'Salaries (% Total Expenditure)'!L28</f>
        <v>47641.440000000002</v>
      </c>
      <c r="F28" s="125">
        <f ca="1">+'Salaries (% Total Expenditure)'!M28</f>
        <v>57528.05</v>
      </c>
      <c r="G28" s="125">
        <f ca="1">+'Salaries (% Total Expenditure)'!N28</f>
        <v>77613.119999999995</v>
      </c>
      <c r="H28" s="125">
        <f ca="1">+'Salaries (% Total Expenditure)'!O28</f>
        <v>79920.69</v>
      </c>
      <c r="I28" s="125">
        <f ca="1">+'Salaries (% Total Expenditure)'!P28</f>
        <v>91948.86</v>
      </c>
      <c r="J28" s="18">
        <f ca="1">+'Revenue Deficit (%GSDP)'!J28</f>
        <v>161479</v>
      </c>
      <c r="K28" s="18">
        <f ca="1">+'Revenue Deficit (%GSDP)'!K28</f>
        <v>197276</v>
      </c>
      <c r="L28" s="18">
        <f ca="1">+'Revenue Deficit (%GSDP)'!L28</f>
        <v>227557</v>
      </c>
      <c r="M28" s="18">
        <f ca="1">+'Revenue Deficit (%GSDP)'!M28</f>
        <v>263396</v>
      </c>
      <c r="N28" s="18">
        <f ca="1">+'Revenue Deficit (%GSDP)'!N28</f>
        <v>311670</v>
      </c>
      <c r="O28" s="18">
        <f ca="1">+'Revenue Deficit (%GSDP)'!O28</f>
        <v>372171</v>
      </c>
      <c r="P28" s="55">
        <f ca="1">+'Revenue Deficit (%GSDP)'!P28</f>
        <v>450900</v>
      </c>
      <c r="Q28" s="125">
        <f t="shared" si="7"/>
        <v>20.801930901231739</v>
      </c>
      <c r="R28" s="125">
        <f t="shared" si="8"/>
        <v>19.307579229100348</v>
      </c>
      <c r="S28" s="125">
        <f t="shared" si="9"/>
        <v>20.936046792671728</v>
      </c>
      <c r="T28" s="125">
        <f t="shared" si="10"/>
        <v>21.840897356072229</v>
      </c>
      <c r="U28" s="125">
        <f t="shared" si="11"/>
        <v>24.902339012416977</v>
      </c>
      <c r="V28" s="125">
        <f t="shared" si="12"/>
        <v>21.474185253552804</v>
      </c>
      <c r="W28" s="125">
        <f t="shared" si="12"/>
        <v>20.392295409181639</v>
      </c>
    </row>
    <row r="29" spans="1:23" ht="18.75" customHeight="1">
      <c r="A29" s="3">
        <v>22</v>
      </c>
      <c r="B29" s="6" t="s">
        <v>35</v>
      </c>
      <c r="C29" s="125">
        <f ca="1">+'Salaries (% Total Expenditure)'!J29</f>
        <v>77494.820000000007</v>
      </c>
      <c r="D29" s="125">
        <f ca="1">+'Salaries (% Total Expenditure)'!K29</f>
        <v>95847.679999999993</v>
      </c>
      <c r="E29" s="125">
        <f ca="1">+'Salaries (% Total Expenditure)'!L29</f>
        <v>113605.54</v>
      </c>
      <c r="F29" s="125">
        <f ca="1">+'Salaries (% Total Expenditure)'!M29</f>
        <v>125381.42</v>
      </c>
      <c r="G29" s="125">
        <f ca="1">+'Salaries (% Total Expenditure)'!N29</f>
        <v>142270.01999999999</v>
      </c>
      <c r="H29" s="125">
        <f ca="1">+'Salaries (% Total Expenditure)'!O29</f>
        <v>160512.14000000001</v>
      </c>
      <c r="I29" s="125">
        <f ca="1">+'Salaries (% Total Expenditure)'!P29</f>
        <v>179925.79</v>
      </c>
      <c r="J29" s="18">
        <f ca="1">+'Revenue Deficit (%GSDP)'!J29</f>
        <v>684817</v>
      </c>
      <c r="K29" s="18">
        <f ca="1">+'Revenue Deficit (%GSDP)'!K29</f>
        <v>753969</v>
      </c>
      <c r="L29" s="18">
        <f ca="1">+'Revenue Deficit (%GSDP)'!L29</f>
        <v>855751</v>
      </c>
      <c r="M29" s="18">
        <f ca="1">+'Revenue Deficit (%GSDP)'!M29</f>
        <v>1035086</v>
      </c>
      <c r="N29" s="18">
        <f ca="1">+'Revenue Deficit (%GSDP)'!N29</f>
        <v>1199548</v>
      </c>
      <c r="O29" s="18">
        <f ca="1">+'Revenue Deficit (%GSDP)'!O29</f>
        <v>1372644</v>
      </c>
      <c r="P29" s="55">
        <f ca="1">+'Revenue Deficit (%GSDP)'!P29</f>
        <v>1586151.7193253073</v>
      </c>
      <c r="Q29" s="125">
        <f t="shared" si="7"/>
        <v>11.316135551541509</v>
      </c>
      <c r="R29" s="125">
        <f t="shared" si="8"/>
        <v>12.712416558240458</v>
      </c>
      <c r="S29" s="125">
        <f t="shared" si="9"/>
        <v>13.275536926045076</v>
      </c>
      <c r="T29" s="125">
        <f t="shared" si="10"/>
        <v>12.113140357419576</v>
      </c>
      <c r="U29" s="125">
        <f t="shared" si="11"/>
        <v>11.860302380563345</v>
      </c>
      <c r="V29" s="125">
        <f t="shared" si="12"/>
        <v>11.693646713933111</v>
      </c>
      <c r="W29" s="125">
        <f t="shared" si="12"/>
        <v>11.343542222841965</v>
      </c>
    </row>
    <row r="30" spans="1:23" ht="18.75" customHeight="1">
      <c r="A30" s="3">
        <v>23</v>
      </c>
      <c r="B30" s="6" t="s">
        <v>74</v>
      </c>
      <c r="C30" s="125">
        <f ca="1">+'Salaries (% Total Expenditure)'!J30</f>
        <v>20999.360000000001</v>
      </c>
      <c r="D30" s="125">
        <f ca="1">+'Salaries (% Total Expenditure)'!K30</f>
        <v>24838.42</v>
      </c>
      <c r="E30" s="125">
        <f ca="1">+'Salaries (% Total Expenditure)'!L30</f>
        <v>29042.63</v>
      </c>
      <c r="F30" s="125">
        <f ca="1">+'Salaries (% Total Expenditure)'!M30</f>
        <v>33967.74</v>
      </c>
      <c r="G30" s="125">
        <f ca="1">+'Salaries (% Total Expenditure)'!N30</f>
        <v>39777.339999999997</v>
      </c>
      <c r="H30" s="125">
        <f ca="1">+'Salaries (% Total Expenditure)'!O30</f>
        <v>44075.76</v>
      </c>
      <c r="I30" s="125">
        <f ca="1">+'Salaries (% Total Expenditure)'!P30</f>
        <v>57484.4</v>
      </c>
      <c r="J30" s="18">
        <f ca="1">+'Revenue Deficit (%GSDP)'!J30</f>
        <v>129274</v>
      </c>
      <c r="K30" s="18">
        <f ca="1">+'Revenue Deficit (%GSDP)'!K30</f>
        <v>148491</v>
      </c>
      <c r="L30" s="18">
        <f ca="1">+'Revenue Deficit (%GSDP)'!L30</f>
        <v>162946</v>
      </c>
      <c r="M30" s="18">
        <f ca="1">+'Revenue Deficit (%GSDP)'!M30</f>
        <v>197530</v>
      </c>
      <c r="N30" s="18">
        <f ca="1">+'Revenue Deficit (%GSDP)'!N30</f>
        <v>214583</v>
      </c>
      <c r="O30" s="18">
        <f ca="1">+'Revenue Deficit (%GSDP)'!O30</f>
        <v>255459</v>
      </c>
      <c r="P30" s="55">
        <f ca="1">+'Revenue Deficit (%GSDP)'!P30</f>
        <v>288414</v>
      </c>
      <c r="Q30" s="125">
        <f t="shared" si="7"/>
        <v>16.244070733480825</v>
      </c>
      <c r="R30" s="125">
        <f t="shared" si="8"/>
        <v>16.727222525270889</v>
      </c>
      <c r="S30" s="125">
        <f t="shared" si="9"/>
        <v>17.823469124740711</v>
      </c>
      <c r="T30" s="125">
        <f t="shared" si="10"/>
        <v>17.196243608565787</v>
      </c>
      <c r="U30" s="125">
        <f t="shared" si="11"/>
        <v>18.537041610938424</v>
      </c>
      <c r="V30" s="125">
        <f t="shared" si="12"/>
        <v>17.253555365048793</v>
      </c>
      <c r="W30" s="125">
        <f t="shared" si="12"/>
        <v>19.931209996740797</v>
      </c>
    </row>
    <row r="31" spans="1:23" s="20" customFormat="1" ht="18.75" customHeight="1">
      <c r="A31" s="3">
        <v>24</v>
      </c>
      <c r="B31" s="6" t="s">
        <v>36</v>
      </c>
      <c r="C31" s="125">
        <f ca="1">+'Salaries (% Total Expenditure)'!J31</f>
        <v>25287.31</v>
      </c>
      <c r="D31" s="125">
        <f ca="1">+'Salaries (% Total Expenditure)'!K31</f>
        <v>27481.99</v>
      </c>
      <c r="E31" s="125">
        <f ca="1">+'Salaries (% Total Expenditure)'!L31</f>
        <v>29603.19</v>
      </c>
      <c r="F31" s="125">
        <f ca="1">+'Salaries (% Total Expenditure)'!M31</f>
        <v>35349.67</v>
      </c>
      <c r="G31" s="125">
        <f ca="1">+'Salaries (% Total Expenditure)'!N31</f>
        <v>34820.050000000003</v>
      </c>
      <c r="H31" s="125">
        <f ca="1">+'Salaries (% Total Expenditure)'!O31</f>
        <v>41571.279999999999</v>
      </c>
      <c r="I31" s="125">
        <f ca="1">+'Salaries (% Total Expenditure)'!P31</f>
        <v>52063.75</v>
      </c>
      <c r="J31" s="18">
        <f ca="1">+'Revenue Deficit (%GSDP)'!J31</f>
        <v>152245</v>
      </c>
      <c r="K31" s="18">
        <f ca="1">+'Revenue Deficit (%GSDP)'!K31</f>
        <v>174039</v>
      </c>
      <c r="L31" s="18">
        <f ca="1">+'Revenue Deficit (%GSDP)'!L31</f>
        <v>197500</v>
      </c>
      <c r="M31" s="18">
        <f ca="1">+'Revenue Deficit (%GSDP)'!M31</f>
        <v>226204</v>
      </c>
      <c r="N31" s="18">
        <f ca="1">+'Revenue Deficit (%GSDP)'!N31</f>
        <v>256430</v>
      </c>
      <c r="O31" s="18">
        <f ca="1">+'Revenue Deficit (%GSDP)'!O31</f>
        <v>286809</v>
      </c>
      <c r="P31" s="55">
        <f ca="1">+'Revenue Deficit (%GSDP)'!P31</f>
        <v>319117</v>
      </c>
      <c r="Q31" s="125">
        <f t="shared" si="7"/>
        <v>16.609616079345795</v>
      </c>
      <c r="R31" s="125">
        <f t="shared" si="8"/>
        <v>15.790707829854227</v>
      </c>
      <c r="S31" s="125">
        <f t="shared" si="9"/>
        <v>14.988956962025316</v>
      </c>
      <c r="T31" s="125">
        <f t="shared" si="10"/>
        <v>15.627340807412777</v>
      </c>
      <c r="U31" s="125">
        <f t="shared" si="11"/>
        <v>13.578773934407051</v>
      </c>
      <c r="V31" s="125">
        <f t="shared" si="12"/>
        <v>14.49441265790125</v>
      </c>
      <c r="W31" s="125">
        <f t="shared" si="12"/>
        <v>16.314940915087568</v>
      </c>
    </row>
    <row r="32" spans="1:23" ht="18.75" customHeight="1">
      <c r="A32" s="3">
        <v>25</v>
      </c>
      <c r="B32" s="6" t="s">
        <v>37</v>
      </c>
      <c r="C32" s="125">
        <f ca="1">+'Salaries (% Total Expenditure)'!J32</f>
        <v>35970.89</v>
      </c>
      <c r="D32" s="125">
        <f ca="1">+'Salaries (% Total Expenditure)'!K32</f>
        <v>40535.61</v>
      </c>
      <c r="E32" s="125">
        <f ca="1">+'Salaries (% Total Expenditure)'!L32</f>
        <v>45804.74</v>
      </c>
      <c r="F32" s="125">
        <f ca="1">+'Salaries (% Total Expenditure)'!M32</f>
        <v>50386.080000000002</v>
      </c>
      <c r="G32" s="125">
        <f ca="1">+'Salaries (% Total Expenditure)'!N32</f>
        <v>61881.66</v>
      </c>
      <c r="H32" s="125">
        <f ca="1">+'Salaries (% Total Expenditure)'!O32</f>
        <v>76557.2</v>
      </c>
      <c r="I32" s="125">
        <f ca="1">+'Salaries (% Total Expenditure)'!P32</f>
        <v>90439.65</v>
      </c>
      <c r="J32" s="18">
        <f ca="1">+'Revenue Deficit (%GSDP)'!J32</f>
        <v>194822</v>
      </c>
      <c r="K32" s="18">
        <f ca="1">+'Revenue Deficit (%GSDP)'!K32</f>
        <v>230949</v>
      </c>
      <c r="L32" s="18">
        <f ca="1">+'Revenue Deficit (%GSDP)'!L32</f>
        <v>265825</v>
      </c>
      <c r="M32" s="18">
        <f ca="1">+'Revenue Deficit (%GSDP)'!M32</f>
        <v>338348</v>
      </c>
      <c r="N32" s="18">
        <f ca="1">+'Revenue Deficit (%GSDP)'!N32</f>
        <v>403422</v>
      </c>
      <c r="O32" s="18">
        <f ca="1">+'Revenue Deficit (%GSDP)'!O32</f>
        <v>459215</v>
      </c>
      <c r="P32" s="55">
        <f ca="1">+'Revenue Deficit (%GSDP)'!P32</f>
        <v>513688</v>
      </c>
      <c r="Q32" s="125">
        <f t="shared" si="7"/>
        <v>18.463464085164919</v>
      </c>
      <c r="R32" s="125">
        <f t="shared" si="8"/>
        <v>17.551758180377487</v>
      </c>
      <c r="S32" s="125">
        <f t="shared" si="9"/>
        <v>17.231163359352959</v>
      </c>
      <c r="T32" s="125">
        <f t="shared" si="10"/>
        <v>14.891791882913449</v>
      </c>
      <c r="U32" s="125">
        <f t="shared" si="11"/>
        <v>15.339188244567726</v>
      </c>
      <c r="V32" s="125">
        <f t="shared" si="12"/>
        <v>16.671319534422874</v>
      </c>
      <c r="W32" s="125">
        <f t="shared" si="12"/>
        <v>17.605949525782187</v>
      </c>
    </row>
    <row r="33" spans="1:23" ht="18.75" customHeight="1">
      <c r="A33" s="3">
        <v>26</v>
      </c>
      <c r="B33" s="6" t="s">
        <v>38</v>
      </c>
      <c r="C33" s="125">
        <f ca="1">+'Salaries (% Total Expenditure)'!J33</f>
        <v>52218.8</v>
      </c>
      <c r="D33" s="125">
        <f ca="1">+'Salaries (% Total Expenditure)'!K33</f>
        <v>65524.5</v>
      </c>
      <c r="E33" s="125">
        <f ca="1">+'Salaries (% Total Expenditure)'!L33</f>
        <v>70238.490000000005</v>
      </c>
      <c r="F33" s="125">
        <f ca="1">+'Salaries (% Total Expenditure)'!M33</f>
        <v>87604.49</v>
      </c>
      <c r="G33" s="125">
        <f ca="1">+'Salaries (% Total Expenditure)'!N33</f>
        <v>105656.84</v>
      </c>
      <c r="H33" s="125">
        <f ca="1">+'Salaries (% Total Expenditure)'!O33</f>
        <v>120574.03</v>
      </c>
      <c r="I33" s="125">
        <f ca="1">+'Salaries (% Total Expenditure)'!P33</f>
        <v>131412.04</v>
      </c>
      <c r="J33" s="18">
        <f ca="1">+'Revenue Deficit (%GSDP)'!J33</f>
        <v>350819</v>
      </c>
      <c r="K33" s="18">
        <f ca="1">+'Revenue Deficit (%GSDP)'!K33</f>
        <v>401336</v>
      </c>
      <c r="L33" s="18">
        <f ca="1">+'Revenue Deficit (%GSDP)'!L33</f>
        <v>479733</v>
      </c>
      <c r="M33" s="18">
        <f ca="1">+'Revenue Deficit (%GSDP)'!M33</f>
        <v>584896</v>
      </c>
      <c r="N33" s="18">
        <f ca="1">+'Revenue Deficit (%GSDP)'!N33</f>
        <v>665312</v>
      </c>
      <c r="O33" s="18">
        <f ca="1">+'Revenue Deficit (%GSDP)'!O33</f>
        <v>744474</v>
      </c>
      <c r="P33" s="55">
        <f ca="1">+'Revenue Deficit (%GSDP)'!P33</f>
        <v>850319</v>
      </c>
      <c r="Q33" s="125">
        <f t="shared" si="7"/>
        <v>14.884826648499654</v>
      </c>
      <c r="R33" s="125">
        <f t="shared" si="8"/>
        <v>16.326594175453984</v>
      </c>
      <c r="S33" s="125">
        <f t="shared" si="9"/>
        <v>14.641162896861381</v>
      </c>
      <c r="T33" s="125">
        <f t="shared" si="10"/>
        <v>14.977789213808951</v>
      </c>
      <c r="U33" s="125">
        <f t="shared" si="11"/>
        <v>15.880795777018902</v>
      </c>
      <c r="V33" s="125">
        <f t="shared" si="12"/>
        <v>16.195868492385227</v>
      </c>
      <c r="W33" s="125">
        <f t="shared" si="12"/>
        <v>15.454440039561623</v>
      </c>
    </row>
    <row r="34" spans="1:23" ht="18.75" customHeight="1">
      <c r="A34" s="3">
        <v>27</v>
      </c>
      <c r="B34" s="6" t="s">
        <v>39</v>
      </c>
      <c r="C34" s="125">
        <f ca="1">+'Salaries (% Total Expenditure)'!J34</f>
        <v>82915.55</v>
      </c>
      <c r="D34" s="125">
        <f ca="1">+'Salaries (% Total Expenditure)'!K34</f>
        <v>99121.62</v>
      </c>
      <c r="E34" s="125">
        <f ca="1">+'Salaries (% Total Expenditure)'!L34</f>
        <v>115406.69</v>
      </c>
      <c r="F34" s="125">
        <f ca="1">+'Salaries (% Total Expenditure)'!M34</f>
        <v>128916.63</v>
      </c>
      <c r="G34" s="125">
        <f ca="1">+'Salaries (% Total Expenditure)'!N34</f>
        <v>146434.70000000001</v>
      </c>
      <c r="H34" s="125">
        <f ca="1">+'Salaries (% Total Expenditure)'!O34</f>
        <v>178456.56</v>
      </c>
      <c r="I34" s="125">
        <f ca="1">+'Salaries (% Total Expenditure)'!P34</f>
        <v>221201.19</v>
      </c>
      <c r="J34" s="18">
        <f ca="1">+'Revenue Deficit (%GSDP)'!J34</f>
        <v>383026</v>
      </c>
      <c r="K34" s="18">
        <f ca="1">+'Revenue Deficit (%GSDP)'!K34</f>
        <v>444685</v>
      </c>
      <c r="L34" s="18">
        <f ca="1">+'Revenue Deficit (%GSDP)'!L34</f>
        <v>523394</v>
      </c>
      <c r="M34" s="18">
        <f ca="1">+'Revenue Deficit (%GSDP)'!M34</f>
        <v>600164</v>
      </c>
      <c r="N34" s="18">
        <f ca="1">+'Revenue Deficit (%GSDP)'!N34</f>
        <v>679007</v>
      </c>
      <c r="O34" s="18">
        <f ca="1">+'Revenue Deficit (%GSDP)'!O34</f>
        <v>768930</v>
      </c>
      <c r="P34" s="55">
        <f ca="1">+'Revenue Deficit (%GSDP)'!P34</f>
        <v>886410</v>
      </c>
      <c r="Q34" s="125">
        <f t="shared" si="7"/>
        <v>21.647499125385743</v>
      </c>
      <c r="R34" s="125">
        <f t="shared" si="8"/>
        <v>22.290299875192552</v>
      </c>
      <c r="S34" s="125">
        <f t="shared" si="9"/>
        <v>22.049677680676506</v>
      </c>
      <c r="T34" s="125">
        <f t="shared" si="10"/>
        <v>21.48023373611213</v>
      </c>
      <c r="U34" s="125">
        <f t="shared" si="11"/>
        <v>21.566007419658416</v>
      </c>
      <c r="V34" s="125">
        <f t="shared" si="12"/>
        <v>23.208427295072372</v>
      </c>
      <c r="W34" s="125">
        <f t="shared" si="12"/>
        <v>24.954726368159204</v>
      </c>
    </row>
    <row r="35" spans="1:23" ht="18.75" customHeight="1">
      <c r="A35" s="3">
        <v>28</v>
      </c>
      <c r="B35" s="6" t="s">
        <v>40</v>
      </c>
      <c r="C35" s="125">
        <f ca="1">+'Salaries (% Total Expenditure)'!J35</f>
        <v>42064.28</v>
      </c>
      <c r="D35" s="125">
        <f ca="1">+'Salaries (% Total Expenditure)'!K35</f>
        <v>56078.26</v>
      </c>
      <c r="E35" s="125">
        <f ca="1">+'Salaries (% Total Expenditure)'!L35</f>
        <v>62263.38</v>
      </c>
      <c r="F35" s="125">
        <f ca="1">+'Salaries (% Total Expenditure)'!M35</f>
        <v>67171.649999999994</v>
      </c>
      <c r="G35" s="125">
        <f ca="1">+'Salaries (% Total Expenditure)'!N35</f>
        <v>76538.080000000002</v>
      </c>
      <c r="H35" s="125">
        <f ca="1">+'Salaries (% Total Expenditure)'!O35</f>
        <v>87722.21</v>
      </c>
      <c r="I35" s="125">
        <f ca="1">+'Salaries (% Total Expenditure)'!P35</f>
        <v>101978.82</v>
      </c>
      <c r="J35" s="18">
        <f ca="1">+'Revenue Deficit (%GSDP)'!J35</f>
        <v>299483</v>
      </c>
      <c r="K35" s="18">
        <f ca="1">+'Revenue Deficit (%GSDP)'!K35</f>
        <v>341942</v>
      </c>
      <c r="L35" s="18">
        <f ca="1">+'Revenue Deficit (%GSDP)'!L35</f>
        <v>398880</v>
      </c>
      <c r="M35" s="18">
        <f ca="1">+'Revenue Deficit (%GSDP)'!M35</f>
        <v>460959</v>
      </c>
      <c r="N35" s="18">
        <f ca="1">+'Revenue Deficit (%GSDP)'!N35</f>
        <v>538209</v>
      </c>
      <c r="O35" s="18">
        <f ca="1">+'Revenue Deficit (%GSDP)'!O35</f>
        <v>620160</v>
      </c>
      <c r="P35" s="55">
        <f ca="1">+'Revenue Deficit (%GSDP)'!P35</f>
        <v>707848</v>
      </c>
      <c r="Q35" s="125">
        <f t="shared" si="7"/>
        <v>14.045631972432492</v>
      </c>
      <c r="R35" s="125">
        <f t="shared" si="8"/>
        <v>16.399933322025372</v>
      </c>
      <c r="S35" s="125">
        <f t="shared" si="9"/>
        <v>15.60955174488568</v>
      </c>
      <c r="T35" s="125">
        <f t="shared" si="10"/>
        <v>14.572152837887966</v>
      </c>
      <c r="U35" s="125">
        <f t="shared" si="11"/>
        <v>14.220884451950822</v>
      </c>
      <c r="V35" s="125">
        <f t="shared" si="12"/>
        <v>14.145093201754385</v>
      </c>
      <c r="W35" s="125">
        <f t="shared" si="12"/>
        <v>14.406881138323483</v>
      </c>
    </row>
    <row r="36" spans="1:23" s="75" customFormat="1" ht="18.75" customHeight="1">
      <c r="A36" s="72"/>
      <c r="B36" s="4" t="s">
        <v>190</v>
      </c>
      <c r="C36" s="126">
        <f t="shared" ref="C36:O36" si="13">SUM(C19:C35)</f>
        <v>635983.46000000008</v>
      </c>
      <c r="D36" s="126">
        <f t="shared" si="13"/>
        <v>752435.17</v>
      </c>
      <c r="E36" s="126">
        <f t="shared" si="13"/>
        <v>858646.62</v>
      </c>
      <c r="F36" s="126">
        <f t="shared" si="13"/>
        <v>985363.88</v>
      </c>
      <c r="G36" s="126">
        <f t="shared" si="13"/>
        <v>1156232.5100000002</v>
      </c>
      <c r="H36" s="126">
        <f t="shared" si="13"/>
        <v>1336555.93</v>
      </c>
      <c r="I36" s="126">
        <f ca="1">SUM(I19:I35)</f>
        <v>1593916.58</v>
      </c>
      <c r="J36" s="66">
        <f t="shared" si="13"/>
        <v>3944879</v>
      </c>
      <c r="K36" s="66">
        <f t="shared" si="13"/>
        <v>4535440</v>
      </c>
      <c r="L36" s="66">
        <f t="shared" si="13"/>
        <v>5204876</v>
      </c>
      <c r="M36" s="66">
        <f t="shared" si="13"/>
        <v>6231556</v>
      </c>
      <c r="N36" s="66">
        <f t="shared" si="13"/>
        <v>7154201</v>
      </c>
      <c r="O36" s="66">
        <f t="shared" si="13"/>
        <v>8190822</v>
      </c>
      <c r="P36" s="242">
        <f ca="1">SUM(P19:P35)</f>
        <v>9397731.1855269298</v>
      </c>
      <c r="Q36" s="126">
        <f t="shared" si="7"/>
        <v>16.121748220921354</v>
      </c>
      <c r="R36" s="126">
        <f t="shared" si="8"/>
        <v>16.590125103628313</v>
      </c>
      <c r="S36" s="126">
        <f t="shared" si="9"/>
        <v>16.496965921954722</v>
      </c>
      <c r="T36" s="126">
        <f>+F36/M36*100</f>
        <v>15.812485356787292</v>
      </c>
      <c r="U36" s="126">
        <f>+G36/N36*100</f>
        <v>16.161588275196635</v>
      </c>
      <c r="V36" s="126">
        <f>+H36/O36*100</f>
        <v>16.317726474827555</v>
      </c>
      <c r="W36" s="126">
        <f>+I36/P36*100</f>
        <v>16.960653039903157</v>
      </c>
    </row>
    <row r="37" spans="1:23" s="75" customFormat="1" ht="18.75" customHeight="1">
      <c r="A37" s="72"/>
      <c r="B37" s="4" t="s">
        <v>42</v>
      </c>
      <c r="C37" s="147"/>
      <c r="D37" s="147"/>
      <c r="E37" s="147"/>
      <c r="F37" s="147"/>
      <c r="G37" s="147"/>
      <c r="H37" s="147"/>
      <c r="I37" s="147"/>
      <c r="J37" s="66"/>
      <c r="K37" s="66"/>
      <c r="L37" s="66"/>
      <c r="M37" s="66"/>
      <c r="N37" s="66"/>
      <c r="O37" s="66"/>
      <c r="P37" s="242"/>
      <c r="Q37" s="125"/>
      <c r="R37" s="125"/>
      <c r="S37" s="125"/>
      <c r="T37" s="125"/>
      <c r="U37" s="125"/>
      <c r="V37" s="125"/>
      <c r="W37" s="125"/>
    </row>
    <row r="38" spans="1:23" ht="18.75" customHeight="1">
      <c r="A38" s="3">
        <v>29</v>
      </c>
      <c r="B38" s="6" t="s">
        <v>43</v>
      </c>
      <c r="C38" s="125">
        <f ca="1">+'Salaries (% Total Expenditure)'!J38</f>
        <v>18159.63</v>
      </c>
      <c r="D38" s="125">
        <f ca="1">+'Salaries (% Total Expenditure)'!K38</f>
        <v>20361.310000000001</v>
      </c>
      <c r="E38" s="125">
        <f ca="1">+'Salaries (% Total Expenditure)'!L38</f>
        <v>24925.919999999998</v>
      </c>
      <c r="F38" s="125">
        <f ca="1">+'Salaries (% Total Expenditure)'!M38</f>
        <v>25524.32</v>
      </c>
      <c r="G38" s="125">
        <f ca="1">+'Salaries (% Total Expenditure)'!N38</f>
        <v>26402.42</v>
      </c>
      <c r="H38" s="125">
        <f ca="1">+'Salaries (% Total Expenditure)'!O38</f>
        <v>29858.81</v>
      </c>
      <c r="I38" s="125">
        <f ca="1">+'Salaries (% Total Expenditure)'!P38</f>
        <v>37450</v>
      </c>
      <c r="J38" s="18">
        <f ca="1">+'Revenue Deficit (%GSDP)'!J38</f>
        <v>157947</v>
      </c>
      <c r="K38" s="18">
        <f ca="1">+'Revenue Deficit (%GSDP)'!K38</f>
        <v>189533</v>
      </c>
      <c r="L38" s="18">
        <f ca="1">+'Revenue Deficit (%GSDP)'!L38</f>
        <v>217619</v>
      </c>
      <c r="M38" s="18">
        <f ca="1">+'Revenue Deficit (%GSDP)'!M38</f>
        <v>252753</v>
      </c>
      <c r="N38" s="18">
        <f ca="1">+'Revenue Deficit (%GSDP)'!N38</f>
        <v>296957</v>
      </c>
      <c r="O38" s="18">
        <f ca="1">+'Revenue Deficit (%GSDP)'!O38</f>
        <v>348221</v>
      </c>
      <c r="P38" s="55">
        <f ca="1">+'Revenue Deficit (%GSDP)'!P38</f>
        <v>404576</v>
      </c>
      <c r="Q38" s="125">
        <f t="shared" ref="Q38:W38" si="14">+C38/J38*100</f>
        <v>11.497293395885963</v>
      </c>
      <c r="R38" s="125">
        <f t="shared" si="14"/>
        <v>10.742883824980346</v>
      </c>
      <c r="S38" s="125">
        <f t="shared" si="14"/>
        <v>11.453926357533119</v>
      </c>
      <c r="T38" s="125">
        <f t="shared" si="14"/>
        <v>10.098523064019023</v>
      </c>
      <c r="U38" s="125">
        <f t="shared" si="14"/>
        <v>8.8909909515519079</v>
      </c>
      <c r="V38" s="125">
        <f t="shared" si="14"/>
        <v>8.5746724063166795</v>
      </c>
      <c r="W38" s="125">
        <f t="shared" si="14"/>
        <v>9.2566044451475129</v>
      </c>
    </row>
    <row r="39" spans="1:23" ht="18.75" customHeight="1">
      <c r="A39" s="3">
        <v>30</v>
      </c>
      <c r="B39" s="6" t="s">
        <v>44</v>
      </c>
      <c r="C39" s="125">
        <f ca="1">+'Salaries (% Total Expenditure)'!J39</f>
        <v>2476</v>
      </c>
      <c r="D39" s="125">
        <f ca="1">+'Salaries (% Total Expenditure)'!K39</f>
        <v>2834</v>
      </c>
      <c r="E39" s="125">
        <f ca="1">+'Salaries (% Total Expenditure)'!L39</f>
        <v>3454</v>
      </c>
      <c r="F39" s="125">
        <f ca="1">+'Salaries (% Total Expenditure)'!M39</f>
        <v>3913</v>
      </c>
      <c r="G39" s="125">
        <f ca="1">+'Salaries (% Total Expenditure)'!N39</f>
        <v>3599</v>
      </c>
      <c r="H39" s="125">
        <f ca="1">+'Salaries (% Total Expenditure)'!O39</f>
        <v>3356.34</v>
      </c>
      <c r="I39" s="125">
        <f ca="1">+'Salaries (% Total Expenditure)'!P39</f>
        <v>3995.07</v>
      </c>
      <c r="J39" s="18">
        <f ca="1">+'Revenue Deficit (%GSDP)'!J39</f>
        <v>9251</v>
      </c>
      <c r="K39" s="18">
        <f ca="1">+'Revenue Deficit (%GSDP)'!K39</f>
        <v>10050</v>
      </c>
      <c r="L39" s="18">
        <f ca="1">+'Revenue Deficit (%GSDP)'!L39</f>
        <v>12304</v>
      </c>
      <c r="M39" s="18">
        <f ca="1">+'Revenue Deficit (%GSDP)'!M39</f>
        <v>13092</v>
      </c>
      <c r="N39" s="18">
        <f ca="1">+'Revenue Deficit (%GSDP)'!N39</f>
        <v>14630</v>
      </c>
      <c r="O39" s="18">
        <f ca="1">+'Revenue Deficit (%GSDP)'!O39</f>
        <v>17192</v>
      </c>
      <c r="P39" s="55">
        <f ca="1">+'Revenue Deficit (%GSDP)'!P39</f>
        <v>21500</v>
      </c>
      <c r="Q39" s="125">
        <f t="shared" ref="Q39:S40" si="15">+C39/J39*100</f>
        <v>26.764674089287645</v>
      </c>
      <c r="R39" s="125">
        <f t="shared" si="15"/>
        <v>28.199004975124375</v>
      </c>
      <c r="S39" s="125">
        <f t="shared" si="15"/>
        <v>28.072171651495449</v>
      </c>
      <c r="T39" s="125">
        <f t="shared" ref="T39:W40" si="16">+F39/M39*100</f>
        <v>29.888481515429273</v>
      </c>
      <c r="U39" s="125">
        <f t="shared" si="16"/>
        <v>24.600136705399862</v>
      </c>
      <c r="V39" s="125">
        <f t="shared" si="16"/>
        <v>19.522684969753374</v>
      </c>
      <c r="W39" s="125">
        <f t="shared" si="16"/>
        <v>18.58172093023256</v>
      </c>
    </row>
    <row r="40" spans="1:23" ht="18.75" customHeight="1">
      <c r="A40" s="3"/>
      <c r="B40" s="4" t="s">
        <v>75</v>
      </c>
      <c r="C40" s="126">
        <f t="shared" ref="C40:O40" si="17">SUM(C38:C39)</f>
        <v>20635.63</v>
      </c>
      <c r="D40" s="126">
        <f t="shared" si="17"/>
        <v>23195.31</v>
      </c>
      <c r="E40" s="126">
        <f t="shared" si="17"/>
        <v>28379.919999999998</v>
      </c>
      <c r="F40" s="126">
        <f t="shared" si="17"/>
        <v>29437.32</v>
      </c>
      <c r="G40" s="126">
        <f>SUM(G38:G39)</f>
        <v>30001.42</v>
      </c>
      <c r="H40" s="126">
        <f t="shared" si="17"/>
        <v>33215.15</v>
      </c>
      <c r="I40" s="126">
        <f>SUM(I38:I39)</f>
        <v>41445.07</v>
      </c>
      <c r="J40" s="66">
        <f t="shared" si="17"/>
        <v>167198</v>
      </c>
      <c r="K40" s="66">
        <f t="shared" si="17"/>
        <v>199583</v>
      </c>
      <c r="L40" s="66">
        <f t="shared" si="17"/>
        <v>229923</v>
      </c>
      <c r="M40" s="66">
        <f t="shared" si="17"/>
        <v>265845</v>
      </c>
      <c r="N40" s="66">
        <f t="shared" si="17"/>
        <v>311587</v>
      </c>
      <c r="O40" s="66">
        <f t="shared" si="17"/>
        <v>365413</v>
      </c>
      <c r="P40" s="242">
        <f>SUM(P38:P39)</f>
        <v>426076</v>
      </c>
      <c r="Q40" s="126">
        <f t="shared" si="15"/>
        <v>12.342031603248843</v>
      </c>
      <c r="R40" s="126">
        <f t="shared" si="15"/>
        <v>11.621886633631123</v>
      </c>
      <c r="S40" s="126">
        <f t="shared" si="15"/>
        <v>12.343227950226815</v>
      </c>
      <c r="T40" s="126">
        <f t="shared" si="16"/>
        <v>11.07311403261299</v>
      </c>
      <c r="U40" s="126">
        <f t="shared" si="16"/>
        <v>9.6285852747386755</v>
      </c>
      <c r="V40" s="126">
        <f t="shared" si="16"/>
        <v>9.0897559747463834</v>
      </c>
      <c r="W40" s="126">
        <f t="shared" si="16"/>
        <v>9.7271543104985962</v>
      </c>
    </row>
    <row r="41" spans="1:23" ht="9" customHeight="1">
      <c r="A41" s="3"/>
      <c r="B41" s="4"/>
      <c r="C41" s="126"/>
      <c r="D41" s="126"/>
      <c r="E41" s="126"/>
      <c r="F41" s="126"/>
      <c r="G41" s="126"/>
      <c r="H41" s="126"/>
      <c r="I41" s="126"/>
      <c r="J41" s="66"/>
      <c r="K41" s="66"/>
      <c r="L41" s="66"/>
      <c r="M41" s="66"/>
      <c r="N41" s="66"/>
      <c r="O41" s="66"/>
      <c r="P41" s="242"/>
      <c r="Q41" s="125"/>
      <c r="R41" s="125"/>
      <c r="S41" s="125"/>
      <c r="T41" s="125"/>
      <c r="U41" s="125"/>
      <c r="V41" s="125"/>
      <c r="W41" s="125"/>
    </row>
    <row r="42" spans="1:23" s="75" customFormat="1">
      <c r="A42" s="72"/>
      <c r="B42" s="4" t="s">
        <v>46</v>
      </c>
      <c r="C42" s="126">
        <f t="shared" ref="C42:O42" si="18">+C17+C36+C40</f>
        <v>727674.4800000001</v>
      </c>
      <c r="D42" s="126">
        <f t="shared" si="18"/>
        <v>857173.90000000014</v>
      </c>
      <c r="E42" s="126">
        <f>+E17+E36+E40</f>
        <v>985722.17</v>
      </c>
      <c r="F42" s="126">
        <f>+F17+F36+F40</f>
        <v>1132810.05</v>
      </c>
      <c r="G42" s="126">
        <f>+G17+G36+G40</f>
        <v>1317398.7500000002</v>
      </c>
      <c r="H42" s="126">
        <f>+H17+H36+H40</f>
        <v>1513751.43</v>
      </c>
      <c r="I42" s="126">
        <f>+I17+I36+I40</f>
        <v>1812349.7300000002</v>
      </c>
      <c r="J42" s="66">
        <f t="shared" si="18"/>
        <v>4347593</v>
      </c>
      <c r="K42" s="66">
        <f t="shared" si="18"/>
        <v>5011438</v>
      </c>
      <c r="L42" s="66">
        <f t="shared" si="18"/>
        <v>5763838</v>
      </c>
      <c r="M42" s="66">
        <f t="shared" si="18"/>
        <v>6885743</v>
      </c>
      <c r="N42" s="66">
        <f t="shared" si="18"/>
        <v>7907554</v>
      </c>
      <c r="O42" s="66">
        <f t="shared" si="18"/>
        <v>9060004</v>
      </c>
      <c r="P42" s="242">
        <f>+P17+P36+P40</f>
        <v>10403785.896576375</v>
      </c>
      <c r="Q42" s="126">
        <f>+C42/J42*100</f>
        <v>16.737410332567933</v>
      </c>
      <c r="R42" s="126">
        <f>+D42/K42*100</f>
        <v>17.104350088737007</v>
      </c>
      <c r="S42" s="126">
        <f>+E42/L42*100</f>
        <v>17.10183683163892</v>
      </c>
      <c r="T42" s="126">
        <f>+F42/M42*100</f>
        <v>16.451529631588052</v>
      </c>
      <c r="U42" s="126">
        <f>+G42/N42*100</f>
        <v>16.660003207059987</v>
      </c>
      <c r="V42" s="126">
        <f>+H42/M42*100</f>
        <v>21.98385025406844</v>
      </c>
      <c r="W42" s="126">
        <f>+I42/N42*100</f>
        <v>22.919220406209053</v>
      </c>
    </row>
    <row r="43" spans="1:23" s="14" customFormat="1" ht="15">
      <c r="A43" s="22"/>
      <c r="B43" s="628" t="s">
        <v>187</v>
      </c>
      <c r="C43" s="628"/>
      <c r="D43" s="628"/>
      <c r="E43" s="628"/>
      <c r="F43" s="628"/>
      <c r="G43" s="628"/>
      <c r="H43" s="628"/>
      <c r="I43" s="628"/>
      <c r="J43" s="628"/>
      <c r="K43" s="23"/>
      <c r="L43" s="23" t="s">
        <v>186</v>
      </c>
      <c r="M43" s="23"/>
      <c r="N43" s="23"/>
      <c r="O43" s="23"/>
      <c r="P43" s="176"/>
      <c r="Q43" s="23"/>
      <c r="R43" s="23"/>
    </row>
  </sheetData>
  <mergeCells count="8">
    <mergeCell ref="B43:J43"/>
    <mergeCell ref="A1:R1"/>
    <mergeCell ref="A2:A4"/>
    <mergeCell ref="B2:B3"/>
    <mergeCell ref="J4:O4"/>
    <mergeCell ref="C2:I2"/>
    <mergeCell ref="J2:P2"/>
    <mergeCell ref="Q2:W2"/>
  </mergeCells>
  <phoneticPr fontId="42" type="noConversion"/>
  <printOptions horizontalCentered="1"/>
  <pageMargins left="0.35433070866141736" right="0.15748031496062992" top="0.78740157480314965" bottom="0.39370078740157483" header="0" footer="0"/>
  <pageSetup paperSize="9" scale="64" orientation="landscape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W4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RowHeight="12.75"/>
  <cols>
    <col min="1" max="1" width="5.5703125" style="25" customWidth="1"/>
    <col min="2" max="2" width="37" customWidth="1"/>
    <col min="3" max="4" width="11.42578125" customWidth="1"/>
    <col min="5" max="9" width="11.42578125" style="14" customWidth="1"/>
    <col min="10" max="11" width="11.85546875" customWidth="1"/>
    <col min="12" max="16" width="11.85546875" style="118" customWidth="1"/>
    <col min="17" max="18" width="10.42578125" customWidth="1"/>
    <col min="19" max="21" width="10.42578125" style="14" customWidth="1"/>
    <col min="22" max="22" width="11.85546875" style="14" customWidth="1"/>
  </cols>
  <sheetData>
    <row r="1" spans="1:23" ht="30.75" customHeight="1">
      <c r="A1" s="656" t="s">
        <v>103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3"/>
      <c r="R1" s="653"/>
      <c r="S1" s="653"/>
      <c r="T1" s="653"/>
      <c r="U1" s="653"/>
      <c r="V1" s="653"/>
    </row>
    <row r="2" spans="1:23" ht="37.5" customHeight="1">
      <c r="A2" s="648" t="s">
        <v>71</v>
      </c>
      <c r="B2" s="648" t="s">
        <v>72</v>
      </c>
      <c r="C2" s="638" t="s">
        <v>161</v>
      </c>
      <c r="D2" s="639"/>
      <c r="E2" s="639"/>
      <c r="F2" s="639"/>
      <c r="G2" s="639"/>
      <c r="H2" s="639"/>
      <c r="I2" s="640"/>
      <c r="J2" s="657" t="s">
        <v>129</v>
      </c>
      <c r="K2" s="658"/>
      <c r="L2" s="658"/>
      <c r="M2" s="658"/>
      <c r="N2" s="658"/>
      <c r="O2" s="658"/>
      <c r="P2" s="659"/>
      <c r="Q2" s="614" t="s">
        <v>138</v>
      </c>
      <c r="R2" s="614"/>
      <c r="S2" s="614"/>
      <c r="T2" s="614"/>
      <c r="U2" s="614"/>
      <c r="V2" s="614"/>
      <c r="W2" s="614"/>
    </row>
    <row r="3" spans="1:23" s="71" customFormat="1" ht="24" customHeight="1">
      <c r="A3" s="649"/>
      <c r="B3" s="649"/>
      <c r="C3" s="141" t="s">
        <v>48</v>
      </c>
      <c r="D3" s="141" t="s">
        <v>49</v>
      </c>
      <c r="E3" s="141" t="s">
        <v>5</v>
      </c>
      <c r="F3" s="141" t="s">
        <v>6</v>
      </c>
      <c r="G3" s="141" t="s">
        <v>7</v>
      </c>
      <c r="H3" s="141" t="s">
        <v>122</v>
      </c>
      <c r="I3" s="141" t="s">
        <v>139</v>
      </c>
      <c r="J3" s="70" t="s">
        <v>48</v>
      </c>
      <c r="K3" s="70" t="s">
        <v>49</v>
      </c>
      <c r="L3" s="76" t="s">
        <v>5</v>
      </c>
      <c r="M3" s="76" t="s">
        <v>6</v>
      </c>
      <c r="N3" s="76" t="s">
        <v>7</v>
      </c>
      <c r="O3" s="76" t="s">
        <v>122</v>
      </c>
      <c r="P3" s="76" t="s">
        <v>139</v>
      </c>
      <c r="Q3" s="141" t="s">
        <v>48</v>
      </c>
      <c r="R3" s="141" t="s">
        <v>49</v>
      </c>
      <c r="S3" s="141" t="s">
        <v>5</v>
      </c>
      <c r="T3" s="141" t="s">
        <v>6</v>
      </c>
      <c r="U3" s="141" t="s">
        <v>7</v>
      </c>
      <c r="V3" s="141" t="s">
        <v>122</v>
      </c>
      <c r="W3" s="141" t="s">
        <v>139</v>
      </c>
    </row>
    <row r="4" spans="1:23" ht="25.5" customHeight="1">
      <c r="A4" s="103"/>
      <c r="B4" s="122">
        <v>41834</v>
      </c>
      <c r="C4" s="142" t="s">
        <v>73</v>
      </c>
      <c r="D4" s="142" t="s">
        <v>73</v>
      </c>
      <c r="E4" s="129" t="s">
        <v>8</v>
      </c>
      <c r="F4" s="129" t="s">
        <v>8</v>
      </c>
      <c r="G4" s="129" t="s">
        <v>8</v>
      </c>
      <c r="H4" s="129" t="s">
        <v>50</v>
      </c>
      <c r="I4" s="142" t="s">
        <v>10</v>
      </c>
      <c r="J4" s="72" t="s">
        <v>73</v>
      </c>
      <c r="K4" s="72" t="s">
        <v>73</v>
      </c>
      <c r="L4" s="29" t="s">
        <v>8</v>
      </c>
      <c r="M4" s="29" t="s">
        <v>8</v>
      </c>
      <c r="N4" s="29" t="s">
        <v>8</v>
      </c>
      <c r="O4" s="29" t="s">
        <v>133</v>
      </c>
      <c r="P4" s="15" t="s">
        <v>10</v>
      </c>
      <c r="Q4" s="142" t="s">
        <v>73</v>
      </c>
      <c r="R4" s="142" t="s">
        <v>73</v>
      </c>
      <c r="S4" s="129" t="s">
        <v>8</v>
      </c>
      <c r="T4" s="129" t="s">
        <v>8</v>
      </c>
      <c r="U4" s="129" t="s">
        <v>8</v>
      </c>
      <c r="V4" s="129" t="s">
        <v>50</v>
      </c>
      <c r="W4" s="142" t="s">
        <v>10</v>
      </c>
    </row>
    <row r="5" spans="1:23" ht="18.75" customHeight="1">
      <c r="A5" s="3"/>
      <c r="B5" s="4" t="s">
        <v>11</v>
      </c>
      <c r="C5" s="142"/>
      <c r="D5" s="142"/>
      <c r="E5" s="142"/>
      <c r="F5" s="142"/>
      <c r="G5" s="142"/>
      <c r="H5" s="142"/>
      <c r="I5" s="142"/>
      <c r="J5" s="72"/>
      <c r="K5" s="72"/>
      <c r="L5" s="15"/>
      <c r="M5" s="244"/>
      <c r="N5" s="245"/>
      <c r="O5" s="245"/>
      <c r="P5" s="246"/>
      <c r="Q5" s="142"/>
      <c r="R5" s="142"/>
      <c r="S5" s="143"/>
      <c r="T5" s="143"/>
      <c r="U5" s="143"/>
      <c r="V5" s="143"/>
      <c r="W5" s="143"/>
    </row>
    <row r="6" spans="1:23" ht="18.75" customHeight="1">
      <c r="A6" s="3">
        <v>1</v>
      </c>
      <c r="B6" s="6" t="s">
        <v>12</v>
      </c>
      <c r="C6" s="243">
        <f ca="1">+'Public Exp Ratio'!C6</f>
        <v>3185.28</v>
      </c>
      <c r="D6" s="243">
        <f ca="1">+'Public Exp Ratio'!D6</f>
        <v>4341.41</v>
      </c>
      <c r="E6" s="243">
        <f ca="1">+'Public Exp Ratio'!E6</f>
        <v>4931.3500000000004</v>
      </c>
      <c r="F6" s="243">
        <f ca="1">+'Public Exp Ratio'!F6</f>
        <v>5399.74</v>
      </c>
      <c r="G6" s="243">
        <f ca="1">+'Public Exp Ratio'!G6</f>
        <v>6458.23</v>
      </c>
      <c r="H6" s="243">
        <f ca="1">+'Public Exp Ratio'!H6</f>
        <v>5998.18</v>
      </c>
      <c r="I6" s="243">
        <f ca="1">+'Public Exp Ratio'!I6</f>
        <v>8016.17</v>
      </c>
      <c r="J6" s="73">
        <v>953</v>
      </c>
      <c r="K6" s="73">
        <v>1280</v>
      </c>
      <c r="L6" s="18">
        <v>1770</v>
      </c>
      <c r="M6" s="18">
        <v>1570</v>
      </c>
      <c r="N6" s="18">
        <v>2160</v>
      </c>
      <c r="O6" s="18">
        <v>2340</v>
      </c>
      <c r="P6" s="18">
        <v>1750</v>
      </c>
      <c r="Q6" s="125">
        <f t="shared" ref="Q6:Q17" si="0">+J6/C6*100</f>
        <v>29.918876833433792</v>
      </c>
      <c r="R6" s="125">
        <f t="shared" ref="R6:R17" si="1">+K6/D6*100</f>
        <v>29.483508813956753</v>
      </c>
      <c r="S6" s="125">
        <f t="shared" ref="S6:S17" si="2">+L6/E6*100</f>
        <v>35.892808257373737</v>
      </c>
      <c r="T6" s="125">
        <f>+M6/F6*100</f>
        <v>29.075474004303913</v>
      </c>
      <c r="U6" s="125">
        <f>+N6/G6*100</f>
        <v>33.445696421465328</v>
      </c>
      <c r="V6" s="125">
        <f>+O6/H6*100</f>
        <v>39.011833589522155</v>
      </c>
      <c r="W6" s="125">
        <f>+P6/I6*100</f>
        <v>21.830874345229702</v>
      </c>
    </row>
    <row r="7" spans="1:23" ht="18.75" customHeight="1">
      <c r="A7" s="3">
        <v>2</v>
      </c>
      <c r="B7" s="6" t="s">
        <v>13</v>
      </c>
      <c r="C7" s="243">
        <f ca="1">+'Public Exp Ratio'!C7</f>
        <v>14575.2</v>
      </c>
      <c r="D7" s="243">
        <f ca="1">+'Public Exp Ratio'!D7</f>
        <v>16722.82</v>
      </c>
      <c r="E7" s="243">
        <f ca="1">+'Public Exp Ratio'!E7</f>
        <v>20565.72</v>
      </c>
      <c r="F7" s="243">
        <f ca="1">+'Public Exp Ratio'!F7</f>
        <v>29259.66</v>
      </c>
      <c r="G7" s="243">
        <f ca="1">+'Public Exp Ratio'!G7</f>
        <v>29792.86</v>
      </c>
      <c r="H7" s="243">
        <f ca="1">+'Public Exp Ratio'!H7</f>
        <v>33637.61</v>
      </c>
      <c r="I7" s="243">
        <f ca="1">+'Public Exp Ratio'!I7</f>
        <v>40936.720000000001</v>
      </c>
      <c r="J7" s="73">
        <v>6056</v>
      </c>
      <c r="K7" s="73">
        <v>6760</v>
      </c>
      <c r="L7" s="18">
        <v>9160</v>
      </c>
      <c r="M7" s="18">
        <v>10240</v>
      </c>
      <c r="N7" s="18">
        <v>11190</v>
      </c>
      <c r="O7" s="18">
        <v>17130</v>
      </c>
      <c r="P7" s="18">
        <v>17960</v>
      </c>
      <c r="Q7" s="125">
        <f t="shared" si="0"/>
        <v>41.550030188264998</v>
      </c>
      <c r="R7" s="125">
        <f t="shared" si="1"/>
        <v>40.423804119161723</v>
      </c>
      <c r="S7" s="125">
        <f t="shared" si="2"/>
        <v>44.540137665980083</v>
      </c>
      <c r="T7" s="125">
        <f t="shared" ref="T7:T16" si="3">+M7/F7*100</f>
        <v>34.996989028580643</v>
      </c>
      <c r="U7" s="125">
        <f t="shared" ref="U7:U16" si="4">+N7/G7*100</f>
        <v>37.559334686230187</v>
      </c>
      <c r="V7" s="125">
        <f t="shared" ref="V7:W16" si="5">+O7/H7*100</f>
        <v>50.925140044135119</v>
      </c>
      <c r="W7" s="125">
        <f t="shared" si="5"/>
        <v>43.872591648769124</v>
      </c>
    </row>
    <row r="8" spans="1:23" ht="18.75" customHeight="1">
      <c r="A8" s="3">
        <v>3</v>
      </c>
      <c r="B8" s="6" t="s">
        <v>14</v>
      </c>
      <c r="C8" s="243">
        <f ca="1">+'Public Exp Ratio'!C8</f>
        <v>9719.19</v>
      </c>
      <c r="D8" s="243">
        <f ca="1">+'Public Exp Ratio'!D8</f>
        <v>11606.81</v>
      </c>
      <c r="E8" s="243">
        <f ca="1">+'Public Exp Ratio'!E8</f>
        <v>13164.12</v>
      </c>
      <c r="F8" s="243">
        <f ca="1">+'Public Exp Ratio'!F8</f>
        <v>15961.6</v>
      </c>
      <c r="G8" s="243">
        <f ca="1">+'Public Exp Ratio'!G8</f>
        <v>16200.78</v>
      </c>
      <c r="H8" s="243">
        <f ca="1">+'Public Exp Ratio'!H8</f>
        <v>18597.63</v>
      </c>
      <c r="I8" s="243">
        <f ca="1">+'Public Exp Ratio'!I8</f>
        <v>20408.990000000002</v>
      </c>
      <c r="J8" s="73">
        <v>3736</v>
      </c>
      <c r="K8" s="73">
        <v>4570</v>
      </c>
      <c r="L8" s="18">
        <v>4910</v>
      </c>
      <c r="M8" s="18">
        <v>6020</v>
      </c>
      <c r="N8" s="18">
        <v>6000</v>
      </c>
      <c r="O8" s="18">
        <v>7350</v>
      </c>
      <c r="P8" s="18">
        <v>7820</v>
      </c>
      <c r="Q8" s="125">
        <f t="shared" si="0"/>
        <v>38.439417276542592</v>
      </c>
      <c r="R8" s="125">
        <f t="shared" si="1"/>
        <v>39.373436801326115</v>
      </c>
      <c r="S8" s="125">
        <f t="shared" si="2"/>
        <v>37.29835340303795</v>
      </c>
      <c r="T8" s="125">
        <f t="shared" si="3"/>
        <v>37.71551724137931</v>
      </c>
      <c r="U8" s="125">
        <f t="shared" si="4"/>
        <v>37.03525385814757</v>
      </c>
      <c r="V8" s="125">
        <f t="shared" si="5"/>
        <v>39.521164793578535</v>
      </c>
      <c r="W8" s="125">
        <f t="shared" si="5"/>
        <v>38.316447800699585</v>
      </c>
    </row>
    <row r="9" spans="1:23" ht="18.75" customHeight="1">
      <c r="A9" s="3">
        <v>4</v>
      </c>
      <c r="B9" s="6" t="s">
        <v>52</v>
      </c>
      <c r="C9" s="243">
        <f ca="1">+'Public Exp Ratio'!C9</f>
        <v>15906.32</v>
      </c>
      <c r="D9" s="243">
        <f ca="1">+'Public Exp Ratio'!D9</f>
        <v>17011.68</v>
      </c>
      <c r="E9" s="243">
        <f ca="1">+'Public Exp Ratio'!E9</f>
        <v>21606.78</v>
      </c>
      <c r="F9" s="243">
        <f ca="1">+'Public Exp Ratio'!F9</f>
        <v>24601.98</v>
      </c>
      <c r="G9" s="243">
        <f ca="1">+'Public Exp Ratio'!G9</f>
        <v>28644.92</v>
      </c>
      <c r="H9" s="243">
        <f ca="1">+'Public Exp Ratio'!H9</f>
        <v>30434.65</v>
      </c>
      <c r="I9" s="243">
        <f ca="1">+'Public Exp Ratio'!I9</f>
        <v>36500</v>
      </c>
      <c r="J9" s="73">
        <v>5108</v>
      </c>
      <c r="K9" s="73">
        <v>5609</v>
      </c>
      <c r="L9" s="18">
        <v>6900</v>
      </c>
      <c r="M9" s="18">
        <v>7430</v>
      </c>
      <c r="N9" s="18">
        <v>8740</v>
      </c>
      <c r="O9" s="18">
        <v>9070</v>
      </c>
      <c r="P9" s="18">
        <v>9640</v>
      </c>
      <c r="Q9" s="125">
        <f t="shared" si="0"/>
        <v>32.113021742301171</v>
      </c>
      <c r="R9" s="125">
        <f t="shared" si="1"/>
        <v>32.97146431157887</v>
      </c>
      <c r="S9" s="125">
        <f t="shared" si="2"/>
        <v>31.934420584649821</v>
      </c>
      <c r="T9" s="125">
        <f t="shared" si="3"/>
        <v>30.200821234713633</v>
      </c>
      <c r="U9" s="125">
        <f t="shared" si="4"/>
        <v>30.511518272698968</v>
      </c>
      <c r="V9" s="125">
        <f t="shared" si="5"/>
        <v>29.801558421075974</v>
      </c>
      <c r="W9" s="125">
        <f t="shared" si="5"/>
        <v>26.410958904109588</v>
      </c>
    </row>
    <row r="10" spans="1:23" ht="18.75" customHeight="1">
      <c r="A10" s="3">
        <v>5</v>
      </c>
      <c r="B10" s="6" t="s">
        <v>16</v>
      </c>
      <c r="C10" s="243">
        <f ca="1">+'Public Exp Ratio'!C10</f>
        <v>3408.4</v>
      </c>
      <c r="D10" s="243">
        <f ca="1">+'Public Exp Ratio'!D10</f>
        <v>4090.16</v>
      </c>
      <c r="E10" s="243">
        <f ca="1">+'Public Exp Ratio'!E10</f>
        <v>4609.07</v>
      </c>
      <c r="F10" s="243">
        <f ca="1">+'Public Exp Ratio'!F10</f>
        <v>5999.86</v>
      </c>
      <c r="G10" s="243">
        <f ca="1">+'Public Exp Ratio'!G10</f>
        <v>6702.4</v>
      </c>
      <c r="H10" s="243">
        <f ca="1">+'Public Exp Ratio'!H10</f>
        <v>6821.4</v>
      </c>
      <c r="I10" s="243">
        <f ca="1">+'Public Exp Ratio'!I10</f>
        <v>9224.1</v>
      </c>
      <c r="J10" s="73">
        <v>1179</v>
      </c>
      <c r="K10" s="73">
        <v>1450</v>
      </c>
      <c r="L10" s="18">
        <v>1540</v>
      </c>
      <c r="M10" s="18">
        <v>1930</v>
      </c>
      <c r="N10" s="18">
        <v>2020</v>
      </c>
      <c r="O10" s="18">
        <v>2480</v>
      </c>
      <c r="P10" s="18">
        <v>2530</v>
      </c>
      <c r="Q10" s="125">
        <f t="shared" si="0"/>
        <v>34.591010444783478</v>
      </c>
      <c r="R10" s="125">
        <f t="shared" si="1"/>
        <v>35.450935904707883</v>
      </c>
      <c r="S10" s="125">
        <f t="shared" si="2"/>
        <v>33.412380371745279</v>
      </c>
      <c r="T10" s="125">
        <f t="shared" si="3"/>
        <v>32.167417239735599</v>
      </c>
      <c r="U10" s="125">
        <f t="shared" si="4"/>
        <v>30.138457865839101</v>
      </c>
      <c r="V10" s="125">
        <f t="shared" si="5"/>
        <v>36.356173219573698</v>
      </c>
      <c r="W10" s="125">
        <f t="shared" si="5"/>
        <v>27.428150171832481</v>
      </c>
    </row>
    <row r="11" spans="1:23" ht="18.75" customHeight="1">
      <c r="A11" s="3">
        <v>6</v>
      </c>
      <c r="B11" s="6" t="s">
        <v>17</v>
      </c>
      <c r="C11" s="243">
        <f ca="1">+'Public Exp Ratio'!C11</f>
        <v>2672.06</v>
      </c>
      <c r="D11" s="243">
        <f ca="1">+'Public Exp Ratio'!D11</f>
        <v>3263.99</v>
      </c>
      <c r="E11" s="243">
        <f ca="1">+'Public Exp Ratio'!E11</f>
        <v>3690.32</v>
      </c>
      <c r="F11" s="243">
        <f ca="1">+'Public Exp Ratio'!F11</f>
        <v>4629.12</v>
      </c>
      <c r="G11" s="243">
        <f ca="1">+'Public Exp Ratio'!G11</f>
        <v>5742.43</v>
      </c>
      <c r="H11" s="243">
        <f ca="1">+'Public Exp Ratio'!H11</f>
        <v>5954.88</v>
      </c>
      <c r="I11" s="243">
        <f ca="1">+'Public Exp Ratio'!I11</f>
        <v>9135.9</v>
      </c>
      <c r="J11" s="73">
        <v>1039</v>
      </c>
      <c r="K11" s="73">
        <v>1220</v>
      </c>
      <c r="L11" s="18">
        <v>1400</v>
      </c>
      <c r="M11" s="18">
        <v>1750</v>
      </c>
      <c r="N11" s="18">
        <v>2340</v>
      </c>
      <c r="O11" s="18">
        <v>3140</v>
      </c>
      <c r="P11" s="18">
        <v>4320</v>
      </c>
      <c r="Q11" s="125">
        <f t="shared" si="0"/>
        <v>38.883857398411713</v>
      </c>
      <c r="R11" s="125">
        <f t="shared" si="1"/>
        <v>37.377565494992325</v>
      </c>
      <c r="S11" s="125">
        <f t="shared" si="2"/>
        <v>37.937089466496126</v>
      </c>
      <c r="T11" s="125">
        <f t="shared" si="3"/>
        <v>37.80416148209595</v>
      </c>
      <c r="U11" s="125">
        <f t="shared" si="4"/>
        <v>40.749299512575682</v>
      </c>
      <c r="V11" s="125">
        <f t="shared" si="5"/>
        <v>52.72986189478209</v>
      </c>
      <c r="W11" s="125">
        <f t="shared" si="5"/>
        <v>47.285981676682106</v>
      </c>
    </row>
    <row r="12" spans="1:23" ht="18.75" customHeight="1">
      <c r="A12" s="3">
        <v>7</v>
      </c>
      <c r="B12" s="6" t="s">
        <v>18</v>
      </c>
      <c r="C12" s="243">
        <f ca="1">+'Public Exp Ratio'!C12</f>
        <v>2339.2600000000002</v>
      </c>
      <c r="D12" s="243">
        <f ca="1">+'Public Exp Ratio'!D12</f>
        <v>2752.83</v>
      </c>
      <c r="E12" s="243">
        <f ca="1">+'Public Exp Ratio'!E12</f>
        <v>3333.08</v>
      </c>
      <c r="F12" s="243">
        <f ca="1">+'Public Exp Ratio'!F12</f>
        <v>3975.9</v>
      </c>
      <c r="G12" s="243">
        <f ca="1">+'Public Exp Ratio'!G12</f>
        <v>4367.1400000000003</v>
      </c>
      <c r="H12" s="243">
        <f ca="1">+'Public Exp Ratio'!H12</f>
        <v>5146.71</v>
      </c>
      <c r="I12" s="243">
        <f ca="1">+'Public Exp Ratio'!I12</f>
        <v>5753.55</v>
      </c>
      <c r="J12" s="73">
        <v>940</v>
      </c>
      <c r="K12" s="73">
        <v>1150</v>
      </c>
      <c r="L12" s="18">
        <v>1470</v>
      </c>
      <c r="M12" s="18">
        <v>1600</v>
      </c>
      <c r="N12" s="18">
        <v>1640</v>
      </c>
      <c r="O12" s="18">
        <v>2290</v>
      </c>
      <c r="P12" s="18">
        <v>1590</v>
      </c>
      <c r="Q12" s="125">
        <f t="shared" si="0"/>
        <v>40.183647820250847</v>
      </c>
      <c r="R12" s="125">
        <f t="shared" si="1"/>
        <v>41.775191348539501</v>
      </c>
      <c r="S12" s="125">
        <f t="shared" si="2"/>
        <v>44.103351854740964</v>
      </c>
      <c r="T12" s="125">
        <f t="shared" si="3"/>
        <v>40.242460826479537</v>
      </c>
      <c r="U12" s="125">
        <f t="shared" si="4"/>
        <v>37.553181258214757</v>
      </c>
      <c r="V12" s="125">
        <f t="shared" si="5"/>
        <v>44.494444023463529</v>
      </c>
      <c r="W12" s="125">
        <f t="shared" si="5"/>
        <v>27.635112235054876</v>
      </c>
    </row>
    <row r="13" spans="1:23" ht="18.75" customHeight="1">
      <c r="A13" s="3">
        <v>8</v>
      </c>
      <c r="B13" s="6" t="s">
        <v>19</v>
      </c>
      <c r="C13" s="243">
        <f ca="1">+'Public Exp Ratio'!C13</f>
        <v>3483.16</v>
      </c>
      <c r="D13" s="243">
        <f ca="1">+'Public Exp Ratio'!D13</f>
        <v>3846.57</v>
      </c>
      <c r="E13" s="243">
        <f ca="1">+'Public Exp Ratio'!E13</f>
        <v>4520.13</v>
      </c>
      <c r="F13" s="243">
        <f ca="1">+'Public Exp Ratio'!F13</f>
        <v>5577.66</v>
      </c>
      <c r="G13" s="243">
        <f ca="1">+'Public Exp Ratio'!G13</f>
        <v>6477.62</v>
      </c>
      <c r="H13" s="243">
        <f ca="1">+'Public Exp Ratio'!H13</f>
        <v>8057.2</v>
      </c>
      <c r="I13" s="243">
        <f ca="1">+'Public Exp Ratio'!I13</f>
        <v>8071.45</v>
      </c>
      <c r="J13" s="73">
        <v>1053</v>
      </c>
      <c r="K13" s="73">
        <v>1120</v>
      </c>
      <c r="L13" s="18">
        <v>1170</v>
      </c>
      <c r="M13" s="18">
        <v>1580</v>
      </c>
      <c r="N13" s="18">
        <v>1610</v>
      </c>
      <c r="O13" s="18">
        <v>2280</v>
      </c>
      <c r="P13" s="18">
        <v>2310</v>
      </c>
      <c r="Q13" s="125">
        <f t="shared" si="0"/>
        <v>30.231169397903056</v>
      </c>
      <c r="R13" s="125">
        <f t="shared" si="1"/>
        <v>29.116849556877945</v>
      </c>
      <c r="S13" s="125">
        <f t="shared" si="2"/>
        <v>25.884211294807891</v>
      </c>
      <c r="T13" s="125">
        <f t="shared" si="3"/>
        <v>28.327291373084773</v>
      </c>
      <c r="U13" s="125">
        <f t="shared" si="4"/>
        <v>24.854807784340547</v>
      </c>
      <c r="V13" s="125">
        <f t="shared" si="5"/>
        <v>28.297671647718808</v>
      </c>
      <c r="W13" s="125">
        <f t="shared" si="5"/>
        <v>28.619393045859169</v>
      </c>
    </row>
    <row r="14" spans="1:23" ht="18.75" customHeight="1">
      <c r="A14" s="3">
        <v>9</v>
      </c>
      <c r="B14" s="6" t="s">
        <v>20</v>
      </c>
      <c r="C14" s="243">
        <f ca="1">+'Public Exp Ratio'!C14</f>
        <v>1562.34</v>
      </c>
      <c r="D14" s="243">
        <f ca="1">+'Public Exp Ratio'!D14</f>
        <v>1992.58</v>
      </c>
      <c r="E14" s="243">
        <f ca="1">+'Public Exp Ratio'!E14</f>
        <v>2514.5300000000002</v>
      </c>
      <c r="F14" s="243">
        <f ca="1">+'Public Exp Ratio'!F14</f>
        <v>2468.73</v>
      </c>
      <c r="G14" s="243">
        <f ca="1">+'Public Exp Ratio'!G14</f>
        <v>3094.54</v>
      </c>
      <c r="H14" s="243">
        <f ca="1">+'Public Exp Ratio'!H14</f>
        <v>3354.84</v>
      </c>
      <c r="I14" s="243">
        <f ca="1">+'Public Exp Ratio'!I14</f>
        <v>4572.7</v>
      </c>
      <c r="J14" s="73">
        <v>663</v>
      </c>
      <c r="K14" s="73">
        <v>820</v>
      </c>
      <c r="L14" s="18">
        <v>1010</v>
      </c>
      <c r="M14" s="18">
        <v>1060</v>
      </c>
      <c r="N14" s="18">
        <v>1450</v>
      </c>
      <c r="O14" s="18">
        <v>1830</v>
      </c>
      <c r="P14" s="18">
        <v>1900</v>
      </c>
      <c r="Q14" s="125">
        <f t="shared" si="0"/>
        <v>42.436345481777337</v>
      </c>
      <c r="R14" s="125">
        <f t="shared" si="1"/>
        <v>41.152676429553651</v>
      </c>
      <c r="S14" s="125">
        <f t="shared" si="2"/>
        <v>40.16655199977729</v>
      </c>
      <c r="T14" s="125">
        <f t="shared" si="3"/>
        <v>42.937056705269512</v>
      </c>
      <c r="U14" s="125">
        <f t="shared" si="4"/>
        <v>46.856721839110179</v>
      </c>
      <c r="V14" s="125">
        <f t="shared" si="5"/>
        <v>54.54805594305541</v>
      </c>
      <c r="W14" s="125">
        <f t="shared" si="5"/>
        <v>41.550943643799073</v>
      </c>
    </row>
    <row r="15" spans="1:23" ht="18.75" customHeight="1">
      <c r="A15" s="3">
        <v>10</v>
      </c>
      <c r="B15" s="6" t="s">
        <v>21</v>
      </c>
      <c r="C15" s="243">
        <f ca="1">+'Public Exp Ratio'!C15</f>
        <v>3717.62</v>
      </c>
      <c r="D15" s="243">
        <f ca="1">+'Public Exp Ratio'!D15</f>
        <v>4349.92</v>
      </c>
      <c r="E15" s="243">
        <f ca="1">+'Public Exp Ratio'!E15</f>
        <v>5563.57</v>
      </c>
      <c r="F15" s="243">
        <f ca="1">+'Public Exp Ratio'!F15</f>
        <v>5418.75</v>
      </c>
      <c r="G15" s="243">
        <f ca="1">+'Public Exp Ratio'!G15</f>
        <v>6220.38</v>
      </c>
      <c r="H15" s="243">
        <f ca="1">+'Public Exp Ratio'!H15</f>
        <v>6715</v>
      </c>
      <c r="I15" s="243">
        <f ca="1">+'Public Exp Ratio'!I15</f>
        <v>9038.66</v>
      </c>
      <c r="J15" s="73">
        <v>1399</v>
      </c>
      <c r="K15" s="73">
        <v>1680</v>
      </c>
      <c r="L15" s="18">
        <v>2180</v>
      </c>
      <c r="M15" s="18">
        <v>2160</v>
      </c>
      <c r="N15" s="18">
        <v>2690</v>
      </c>
      <c r="O15" s="18">
        <v>3660</v>
      </c>
      <c r="P15" s="18">
        <v>3580</v>
      </c>
      <c r="Q15" s="125">
        <f t="shared" si="0"/>
        <v>37.631603014832073</v>
      </c>
      <c r="R15" s="125">
        <f t="shared" si="1"/>
        <v>38.621399933791885</v>
      </c>
      <c r="S15" s="125">
        <f t="shared" si="2"/>
        <v>39.183473920522253</v>
      </c>
      <c r="T15" s="125">
        <f t="shared" si="3"/>
        <v>39.86159169550173</v>
      </c>
      <c r="U15" s="125">
        <f t="shared" si="4"/>
        <v>43.244946450216865</v>
      </c>
      <c r="V15" s="125">
        <f t="shared" si="5"/>
        <v>54.504839910647803</v>
      </c>
      <c r="W15" s="125">
        <f t="shared" si="5"/>
        <v>39.607640955628383</v>
      </c>
    </row>
    <row r="16" spans="1:23" ht="18.75" customHeight="1">
      <c r="A16" s="3">
        <v>11</v>
      </c>
      <c r="B16" s="6" t="s">
        <v>22</v>
      </c>
      <c r="C16" s="243">
        <f ca="1">+'Public Exp Ratio'!C16</f>
        <v>10486.56</v>
      </c>
      <c r="D16" s="243">
        <f ca="1">+'Public Exp Ratio'!D16</f>
        <v>11564.65</v>
      </c>
      <c r="E16" s="243">
        <f ca="1">+'Public Exp Ratio'!E16</f>
        <v>14196.96</v>
      </c>
      <c r="F16" s="243">
        <f ca="1">+'Public Exp Ratio'!F16</f>
        <v>14715.85</v>
      </c>
      <c r="G16" s="243">
        <f ca="1">+'Public Exp Ratio'!G16</f>
        <v>17463.52</v>
      </c>
      <c r="H16" s="243">
        <f ca="1">+'Public Exp Ratio'!H16</f>
        <v>19262.25</v>
      </c>
      <c r="I16" s="243">
        <f ca="1">+'Public Exp Ratio'!I16</f>
        <v>25329.84</v>
      </c>
      <c r="J16" s="73">
        <v>3726</v>
      </c>
      <c r="K16" s="73">
        <v>4190</v>
      </c>
      <c r="L16" s="18">
        <v>5620</v>
      </c>
      <c r="M16" s="18">
        <v>5950</v>
      </c>
      <c r="N16" s="18">
        <v>7380</v>
      </c>
      <c r="O16" s="18">
        <v>9240</v>
      </c>
      <c r="P16" s="18">
        <v>10240</v>
      </c>
      <c r="Q16" s="125">
        <f t="shared" si="0"/>
        <v>35.531194214308606</v>
      </c>
      <c r="R16" s="125">
        <f t="shared" si="1"/>
        <v>36.231100811524776</v>
      </c>
      <c r="S16" s="125">
        <f t="shared" si="2"/>
        <v>39.585939525081429</v>
      </c>
      <c r="T16" s="125">
        <f t="shared" si="3"/>
        <v>40.432594787253201</v>
      </c>
      <c r="U16" s="125">
        <f t="shared" si="4"/>
        <v>42.259521562663195</v>
      </c>
      <c r="V16" s="125">
        <f t="shared" si="5"/>
        <v>47.969473971109295</v>
      </c>
      <c r="W16" s="125">
        <f t="shared" si="5"/>
        <v>40.426627250705103</v>
      </c>
    </row>
    <row r="17" spans="1:23" s="75" customFormat="1" ht="18.75" customHeight="1">
      <c r="A17" s="72"/>
      <c r="B17" s="4" t="s">
        <v>23</v>
      </c>
      <c r="C17" s="147">
        <f t="shared" ref="C17:K17" si="6">SUM(C6:C16)</f>
        <v>71055.39</v>
      </c>
      <c r="D17" s="147">
        <f t="shared" si="6"/>
        <v>81543.42</v>
      </c>
      <c r="E17" s="147">
        <f t="shared" si="6"/>
        <v>98695.63</v>
      </c>
      <c r="F17" s="147">
        <f t="shared" si="6"/>
        <v>118008.84999999999</v>
      </c>
      <c r="G17" s="147">
        <f t="shared" si="6"/>
        <v>131164.81999999998</v>
      </c>
      <c r="H17" s="147">
        <f t="shared" si="6"/>
        <v>143980.35</v>
      </c>
      <c r="I17" s="147">
        <f ca="1">SUM(I6:I16)</f>
        <v>176988.08000000002</v>
      </c>
      <c r="J17" s="74">
        <f t="shared" si="6"/>
        <v>25852</v>
      </c>
      <c r="K17" s="74">
        <f t="shared" si="6"/>
        <v>29849</v>
      </c>
      <c r="L17" s="66">
        <f>SUM(L6:L16)</f>
        <v>37130</v>
      </c>
      <c r="M17" s="66">
        <f>SUM(M6:M16)</f>
        <v>41290</v>
      </c>
      <c r="N17" s="66">
        <f>SUM(N6:N16)</f>
        <v>47220</v>
      </c>
      <c r="O17" s="66">
        <f>SUM(O6:O16)</f>
        <v>60810</v>
      </c>
      <c r="P17" s="66">
        <f>SUM(P6:P16)</f>
        <v>63640</v>
      </c>
      <c r="Q17" s="126">
        <f t="shared" si="0"/>
        <v>36.382883831895093</v>
      </c>
      <c r="R17" s="126">
        <f t="shared" si="1"/>
        <v>36.605038150227202</v>
      </c>
      <c r="S17" s="126">
        <f t="shared" si="2"/>
        <v>37.620713298045715</v>
      </c>
      <c r="T17" s="126">
        <f>+M17/F17*100</f>
        <v>34.988901256134611</v>
      </c>
      <c r="U17" s="126">
        <f>+N17/G17*100</f>
        <v>36.000506843222148</v>
      </c>
      <c r="V17" s="126">
        <f>+O17/H17*100</f>
        <v>42.23492997481948</v>
      </c>
      <c r="W17" s="126">
        <f>+P17/I17*100</f>
        <v>35.957223785918238</v>
      </c>
    </row>
    <row r="18" spans="1:23" ht="18.75" customHeight="1">
      <c r="A18" s="3"/>
      <c r="B18" s="4" t="s">
        <v>189</v>
      </c>
      <c r="C18" s="147"/>
      <c r="D18" s="147"/>
      <c r="E18" s="146"/>
      <c r="F18" s="146"/>
      <c r="G18" s="146"/>
      <c r="H18" s="146"/>
      <c r="I18" s="146"/>
      <c r="J18" s="74"/>
      <c r="K18" s="74"/>
      <c r="L18" s="66"/>
      <c r="M18" s="66"/>
      <c r="N18" s="66"/>
      <c r="O18" s="66"/>
      <c r="P18" s="66"/>
      <c r="Q18" s="125"/>
      <c r="R18" s="125"/>
      <c r="S18" s="143"/>
      <c r="T18" s="143"/>
      <c r="U18" s="143"/>
      <c r="V18" s="143"/>
      <c r="W18" s="143"/>
    </row>
    <row r="19" spans="1:23" ht="18.75" customHeight="1">
      <c r="A19" s="3">
        <v>12</v>
      </c>
      <c r="B19" s="6" t="s">
        <v>25</v>
      </c>
      <c r="C19" s="243">
        <f ca="1">+'Public Exp Ratio'!C19</f>
        <v>69678.210000000006</v>
      </c>
      <c r="D19" s="243">
        <f ca="1">+'Public Exp Ratio'!D19</f>
        <v>75634.05</v>
      </c>
      <c r="E19" s="243">
        <f ca="1">+'Public Exp Ratio'!E19</f>
        <v>78830.81</v>
      </c>
      <c r="F19" s="243">
        <f ca="1">+'Public Exp Ratio'!F19</f>
        <v>92972.36</v>
      </c>
      <c r="G19" s="243">
        <f ca="1">+'Public Exp Ratio'!G19</f>
        <v>109120.55</v>
      </c>
      <c r="H19" s="243">
        <f ca="1">+'Public Exp Ratio'!H19</f>
        <v>121764.09</v>
      </c>
      <c r="I19" s="243">
        <f ca="1">+'Public Exp Ratio'!I19</f>
        <v>152722</v>
      </c>
      <c r="J19" s="73">
        <v>24471</v>
      </c>
      <c r="K19" s="73">
        <v>31440</v>
      </c>
      <c r="L19" s="18">
        <v>30280</v>
      </c>
      <c r="M19" s="18">
        <v>39130</v>
      </c>
      <c r="N19" s="18">
        <v>45400</v>
      </c>
      <c r="O19" s="18">
        <v>56170</v>
      </c>
      <c r="P19" s="18">
        <v>66790</v>
      </c>
      <c r="Q19" s="125">
        <f t="shared" ref="Q19:Q36" si="7">+J19/C19*100</f>
        <v>35.120018152016243</v>
      </c>
      <c r="R19" s="125">
        <f t="shared" ref="R19:R36" si="8">+K19/D19*100</f>
        <v>41.568579231179612</v>
      </c>
      <c r="S19" s="125">
        <f t="shared" ref="S19:S36" si="9">+L19/E19*100</f>
        <v>38.411377480454661</v>
      </c>
      <c r="T19" s="125">
        <f>+M19/F19*100</f>
        <v>42.087777485695746</v>
      </c>
      <c r="U19" s="125">
        <f>+N19/G19*100</f>
        <v>41.605362143061043</v>
      </c>
      <c r="V19" s="125">
        <f>+O19/H19*100</f>
        <v>46.13018501595996</v>
      </c>
      <c r="W19" s="125">
        <f>+P19/I19*100</f>
        <v>43.733057450792941</v>
      </c>
    </row>
    <row r="20" spans="1:23" ht="18.75" customHeight="1">
      <c r="A20" s="3">
        <v>13</v>
      </c>
      <c r="B20" s="6" t="s">
        <v>26</v>
      </c>
      <c r="C20" s="243">
        <f ca="1">+'Public Exp Ratio'!C20</f>
        <v>29939.34</v>
      </c>
      <c r="D20" s="243">
        <f ca="1">+'Public Exp Ratio'!D20</f>
        <v>35498.980000000003</v>
      </c>
      <c r="E20" s="243">
        <f ca="1">+'Public Exp Ratio'!E20</f>
        <v>40813.040000000001</v>
      </c>
      <c r="F20" s="243">
        <f ca="1">+'Public Exp Ratio'!F20</f>
        <v>48514.49</v>
      </c>
      <c r="G20" s="243">
        <f ca="1">+'Public Exp Ratio'!G20</f>
        <v>57257.57</v>
      </c>
      <c r="H20" s="243">
        <f ca="1">+'Public Exp Ratio'!H20</f>
        <v>66136.62</v>
      </c>
      <c r="I20" s="243">
        <f ca="1">+'Public Exp Ratio'!I20</f>
        <v>88849.2</v>
      </c>
      <c r="J20" s="73">
        <v>13815</v>
      </c>
      <c r="K20" s="73">
        <v>16340</v>
      </c>
      <c r="L20" s="18">
        <v>17870</v>
      </c>
      <c r="M20" s="18">
        <v>19370</v>
      </c>
      <c r="N20" s="18">
        <v>24050</v>
      </c>
      <c r="O20" s="18">
        <v>38750</v>
      </c>
      <c r="P20" s="18">
        <v>4140</v>
      </c>
      <c r="Q20" s="125">
        <f t="shared" si="7"/>
        <v>46.14330175615094</v>
      </c>
      <c r="R20" s="125">
        <f t="shared" si="8"/>
        <v>46.029491551588237</v>
      </c>
      <c r="S20" s="125">
        <f t="shared" si="9"/>
        <v>43.785025570258917</v>
      </c>
      <c r="T20" s="125">
        <f t="shared" ref="T20:T35" si="10">+M20/F20*100</f>
        <v>39.926215858396127</v>
      </c>
      <c r="U20" s="125">
        <f t="shared" ref="U20:U35" si="11">+N20/G20*100</f>
        <v>42.003179666898191</v>
      </c>
      <c r="V20" s="125">
        <f t="shared" ref="V20:W35" si="12">+O20/H20*100</f>
        <v>58.590838177094625</v>
      </c>
      <c r="W20" s="125">
        <f t="shared" si="12"/>
        <v>4.6595805026944532</v>
      </c>
    </row>
    <row r="21" spans="1:23" ht="18.75" customHeight="1">
      <c r="A21" s="3">
        <v>14</v>
      </c>
      <c r="B21" s="6" t="s">
        <v>27</v>
      </c>
      <c r="C21" s="243">
        <f ca="1">+'Public Exp Ratio'!C21</f>
        <v>13970.54</v>
      </c>
      <c r="D21" s="243">
        <f ca="1">+'Public Exp Ratio'!D21</f>
        <v>17226.07</v>
      </c>
      <c r="E21" s="243">
        <f ca="1">+'Public Exp Ratio'!E21</f>
        <v>20910.439999999999</v>
      </c>
      <c r="F21" s="243">
        <f ca="1">+'Public Exp Ratio'!F21</f>
        <v>22876.15</v>
      </c>
      <c r="G21" s="243">
        <f ca="1">+'Public Exp Ratio'!G21</f>
        <v>27957.99</v>
      </c>
      <c r="H21" s="243">
        <f ca="1">+'Public Exp Ratio'!H21</f>
        <v>33779.160000000003</v>
      </c>
      <c r="I21" s="243">
        <f ca="1">+'Public Exp Ratio'!I21</f>
        <v>44169</v>
      </c>
      <c r="J21" s="73">
        <v>6947</v>
      </c>
      <c r="K21" s="73">
        <v>8870</v>
      </c>
      <c r="L21" s="18">
        <v>11680</v>
      </c>
      <c r="M21" s="18">
        <v>11820</v>
      </c>
      <c r="N21" s="18">
        <v>14810</v>
      </c>
      <c r="O21" s="18">
        <v>20160</v>
      </c>
      <c r="P21" s="18">
        <v>24080</v>
      </c>
      <c r="Q21" s="125">
        <f t="shared" si="7"/>
        <v>49.72606642262933</v>
      </c>
      <c r="R21" s="125">
        <f t="shared" si="8"/>
        <v>51.491721559241313</v>
      </c>
      <c r="S21" s="125">
        <f t="shared" si="9"/>
        <v>55.857265557300572</v>
      </c>
      <c r="T21" s="125">
        <f t="shared" si="10"/>
        <v>51.669533553504408</v>
      </c>
      <c r="U21" s="125">
        <f t="shared" si="11"/>
        <v>52.97233456339314</v>
      </c>
      <c r="V21" s="125">
        <f t="shared" si="12"/>
        <v>59.681768285534616</v>
      </c>
      <c r="W21" s="125">
        <f t="shared" si="12"/>
        <v>54.517874527383455</v>
      </c>
    </row>
    <row r="22" spans="1:23" s="20" customFormat="1" ht="18.75" customHeight="1">
      <c r="A22" s="3">
        <v>15</v>
      </c>
      <c r="B22" s="6" t="s">
        <v>28</v>
      </c>
      <c r="C22" s="243">
        <f ca="1">+'Public Exp Ratio'!C22</f>
        <v>2826.47</v>
      </c>
      <c r="D22" s="243">
        <f ca="1">+'Public Exp Ratio'!D22</f>
        <v>3647.92</v>
      </c>
      <c r="E22" s="243">
        <f ca="1">+'Public Exp Ratio'!E22</f>
        <v>4556.07</v>
      </c>
      <c r="F22" s="243">
        <f ca="1">+'Public Exp Ratio'!F22</f>
        <v>6230</v>
      </c>
      <c r="G22" s="243">
        <f ca="1">+'Public Exp Ratio'!G22</f>
        <v>6953.57</v>
      </c>
      <c r="H22" s="243">
        <f ca="1">+'Public Exp Ratio'!H22</f>
        <v>8988.74</v>
      </c>
      <c r="I22" s="243">
        <f ca="1">+'Public Exp Ratio'!I22</f>
        <v>9886.49</v>
      </c>
      <c r="J22" s="73">
        <v>1124</v>
      </c>
      <c r="K22" s="73">
        <v>1460</v>
      </c>
      <c r="L22" s="18">
        <v>1790</v>
      </c>
      <c r="M22" s="18">
        <v>2090</v>
      </c>
      <c r="N22" s="18">
        <v>2300</v>
      </c>
      <c r="O22" s="18">
        <v>3140</v>
      </c>
      <c r="P22" s="18">
        <v>3600</v>
      </c>
      <c r="Q22" s="125">
        <f t="shared" si="7"/>
        <v>39.766917745456347</v>
      </c>
      <c r="R22" s="125">
        <f t="shared" si="8"/>
        <v>40.022807517708721</v>
      </c>
      <c r="S22" s="125">
        <f t="shared" si="9"/>
        <v>39.288246229755032</v>
      </c>
      <c r="T22" s="125">
        <f t="shared" si="10"/>
        <v>33.547351524879616</v>
      </c>
      <c r="U22" s="125">
        <f t="shared" si="11"/>
        <v>33.076534787166885</v>
      </c>
      <c r="V22" s="125">
        <f t="shared" si="12"/>
        <v>34.932593444687463</v>
      </c>
      <c r="W22" s="125">
        <f t="shared" si="12"/>
        <v>36.413327682524333</v>
      </c>
    </row>
    <row r="23" spans="1:23" ht="18.75" customHeight="1">
      <c r="A23" s="3">
        <v>16</v>
      </c>
      <c r="B23" s="6" t="s">
        <v>29</v>
      </c>
      <c r="C23" s="243">
        <f ca="1">+'Public Exp Ratio'!C23</f>
        <v>39734.589999999997</v>
      </c>
      <c r="D23" s="243">
        <f ca="1">+'Public Exp Ratio'!D23</f>
        <v>48031.34</v>
      </c>
      <c r="E23" s="243">
        <f ca="1">+'Public Exp Ratio'!E23</f>
        <v>55750.46</v>
      </c>
      <c r="F23" s="243">
        <f ca="1">+'Public Exp Ratio'!F23</f>
        <v>66568.31</v>
      </c>
      <c r="G23" s="243">
        <f ca="1">+'Public Exp Ratio'!G23</f>
        <v>74161.5</v>
      </c>
      <c r="H23" s="243">
        <f ca="1">+'Public Exp Ratio'!H23</f>
        <v>92143.14</v>
      </c>
      <c r="I23" s="243">
        <f ca="1">+'Public Exp Ratio'!I23</f>
        <v>104077.51</v>
      </c>
      <c r="J23" s="73">
        <v>14893</v>
      </c>
      <c r="K23" s="73">
        <v>18180</v>
      </c>
      <c r="L23" s="18">
        <v>23170</v>
      </c>
      <c r="M23" s="18">
        <v>28589.999999999996</v>
      </c>
      <c r="N23" s="18">
        <v>30350</v>
      </c>
      <c r="O23" s="18">
        <v>39240</v>
      </c>
      <c r="P23" s="18">
        <v>44030</v>
      </c>
      <c r="Q23" s="125">
        <f t="shared" si="7"/>
        <v>37.481197113145001</v>
      </c>
      <c r="R23" s="125">
        <f t="shared" si="8"/>
        <v>37.850286916833888</v>
      </c>
      <c r="S23" s="125">
        <f t="shared" si="9"/>
        <v>41.560195198389394</v>
      </c>
      <c r="T23" s="125">
        <f t="shared" si="10"/>
        <v>42.948363868633585</v>
      </c>
      <c r="U23" s="125">
        <f t="shared" si="11"/>
        <v>40.92419921387782</v>
      </c>
      <c r="V23" s="125">
        <f t="shared" si="12"/>
        <v>42.585915782770158</v>
      </c>
      <c r="W23" s="125">
        <f t="shared" si="12"/>
        <v>42.305009026445774</v>
      </c>
    </row>
    <row r="24" spans="1:23" ht="18.75" customHeight="1">
      <c r="A24" s="3">
        <v>17</v>
      </c>
      <c r="B24" s="6" t="s">
        <v>30</v>
      </c>
      <c r="C24" s="243">
        <f ca="1">+'Public Exp Ratio'!C24</f>
        <v>21240</v>
      </c>
      <c r="D24" s="243">
        <f ca="1">+'Public Exp Ratio'!D24</f>
        <v>25369</v>
      </c>
      <c r="E24" s="243">
        <f ca="1">+'Public Exp Ratio'!E24</f>
        <v>31305</v>
      </c>
      <c r="F24" s="243">
        <f ca="1">+'Public Exp Ratio'!F24</f>
        <v>33063</v>
      </c>
      <c r="G24" s="243">
        <f ca="1">+'Public Exp Ratio'!G24</f>
        <v>38014</v>
      </c>
      <c r="H24" s="243">
        <f ca="1">+'Public Exp Ratio'!H24</f>
        <v>44185</v>
      </c>
      <c r="I24" s="243">
        <f ca="1">+'Public Exp Ratio'!I24</f>
        <v>53073</v>
      </c>
      <c r="J24" s="73">
        <v>7343</v>
      </c>
      <c r="K24" s="73">
        <v>9810</v>
      </c>
      <c r="L24" s="18">
        <v>13360</v>
      </c>
      <c r="M24" s="18">
        <v>13640</v>
      </c>
      <c r="N24" s="18">
        <v>16270</v>
      </c>
      <c r="O24" s="18">
        <v>19490</v>
      </c>
      <c r="P24" s="18">
        <v>23390</v>
      </c>
      <c r="Q24" s="125">
        <f t="shared" si="7"/>
        <v>34.571563088512242</v>
      </c>
      <c r="R24" s="125">
        <f t="shared" si="8"/>
        <v>38.669241988253376</v>
      </c>
      <c r="S24" s="125">
        <f t="shared" si="9"/>
        <v>42.676888675930364</v>
      </c>
      <c r="T24" s="125">
        <f t="shared" si="10"/>
        <v>41.254574600006052</v>
      </c>
      <c r="U24" s="125">
        <f t="shared" si="11"/>
        <v>42.8000210448782</v>
      </c>
      <c r="V24" s="125">
        <f t="shared" si="12"/>
        <v>44.10999207875976</v>
      </c>
      <c r="W24" s="125">
        <f t="shared" si="12"/>
        <v>44.071373391366606</v>
      </c>
    </row>
    <row r="25" spans="1:23" ht="18.75" customHeight="1">
      <c r="A25" s="3">
        <v>18</v>
      </c>
      <c r="B25" s="6" t="s">
        <v>31</v>
      </c>
      <c r="C25" s="243">
        <f ca="1">+'Public Exp Ratio'!C25</f>
        <v>14013.18</v>
      </c>
      <c r="D25" s="243">
        <f ca="1">+'Public Exp Ratio'!D25</f>
        <v>16346.36</v>
      </c>
      <c r="E25" s="243">
        <f ca="1">+'Public Exp Ratio'!E25</f>
        <v>18151.259999999998</v>
      </c>
      <c r="F25" s="243">
        <f ca="1">+'Public Exp Ratio'!F25</f>
        <v>20916.599999999999</v>
      </c>
      <c r="G25" s="243">
        <f ca="1">+'Public Exp Ratio'!G25</f>
        <v>24443.45</v>
      </c>
      <c r="H25" s="243">
        <f ca="1">+'Public Exp Ratio'!H25</f>
        <v>28319.1</v>
      </c>
      <c r="I25" s="243">
        <f ca="1">+'Public Exp Ratio'!I25</f>
        <v>37739.879999999997</v>
      </c>
      <c r="J25" s="73">
        <v>7984</v>
      </c>
      <c r="K25" s="73">
        <v>9870</v>
      </c>
      <c r="L25" s="18">
        <v>10040</v>
      </c>
      <c r="M25" s="18">
        <v>12300</v>
      </c>
      <c r="N25" s="18">
        <v>10720</v>
      </c>
      <c r="O25" s="18">
        <v>16680</v>
      </c>
      <c r="P25" s="18">
        <v>17370</v>
      </c>
      <c r="Q25" s="125">
        <f t="shared" si="7"/>
        <v>56.974933598226805</v>
      </c>
      <c r="R25" s="125">
        <f t="shared" si="8"/>
        <v>60.380414967001826</v>
      </c>
      <c r="S25" s="125">
        <f t="shared" si="9"/>
        <v>55.312964499434202</v>
      </c>
      <c r="T25" s="125">
        <f t="shared" si="10"/>
        <v>58.804968302687818</v>
      </c>
      <c r="U25" s="125">
        <f t="shared" si="11"/>
        <v>43.856329609772757</v>
      </c>
      <c r="V25" s="125">
        <f t="shared" si="12"/>
        <v>58.900176912401882</v>
      </c>
      <c r="W25" s="125">
        <f t="shared" si="12"/>
        <v>46.025583547165496</v>
      </c>
    </row>
    <row r="26" spans="1:23" ht="18.75" customHeight="1">
      <c r="A26" s="3">
        <v>19</v>
      </c>
      <c r="B26" s="6" t="s">
        <v>32</v>
      </c>
      <c r="C26" s="243">
        <f ca="1">+'Public Exp Ratio'!C26</f>
        <v>46780</v>
      </c>
      <c r="D26" s="243">
        <f ca="1">+'Public Exp Ratio'!D26</f>
        <v>52261</v>
      </c>
      <c r="E26" s="243">
        <f ca="1">+'Public Exp Ratio'!E26</f>
        <v>60655</v>
      </c>
      <c r="F26" s="243">
        <f ca="1">+'Public Exp Ratio'!F26</f>
        <v>69127</v>
      </c>
      <c r="G26" s="243">
        <f ca="1">+'Public Exp Ratio'!G26</f>
        <v>82436</v>
      </c>
      <c r="H26" s="243">
        <f ca="1">+'Public Exp Ratio'!H26</f>
        <v>92874</v>
      </c>
      <c r="I26" s="243">
        <f ca="1">+'Public Exp Ratio'!I26</f>
        <v>115770</v>
      </c>
      <c r="J26" s="73">
        <v>17644</v>
      </c>
      <c r="K26" s="73">
        <v>20440</v>
      </c>
      <c r="L26" s="18">
        <v>25100</v>
      </c>
      <c r="M26" s="18">
        <v>28689.999999999996</v>
      </c>
      <c r="N26" s="18">
        <v>32370</v>
      </c>
      <c r="O26" s="18">
        <v>42750</v>
      </c>
      <c r="P26" s="18">
        <v>50390</v>
      </c>
      <c r="Q26" s="125">
        <f t="shared" si="7"/>
        <v>37.716973065412567</v>
      </c>
      <c r="R26" s="125">
        <f t="shared" si="8"/>
        <v>39.111383249459443</v>
      </c>
      <c r="S26" s="125">
        <f t="shared" si="9"/>
        <v>41.381584370620722</v>
      </c>
      <c r="T26" s="125">
        <f t="shared" si="10"/>
        <v>41.503319976275542</v>
      </c>
      <c r="U26" s="125">
        <f t="shared" si="11"/>
        <v>39.2668251734679</v>
      </c>
      <c r="V26" s="125">
        <f t="shared" si="12"/>
        <v>46.030105303960205</v>
      </c>
      <c r="W26" s="125">
        <f t="shared" si="12"/>
        <v>43.525956638161873</v>
      </c>
    </row>
    <row r="27" spans="1:23" ht="18.75" customHeight="1">
      <c r="A27" s="3">
        <v>20</v>
      </c>
      <c r="B27" s="6" t="s">
        <v>33</v>
      </c>
      <c r="C27" s="243">
        <f ca="1">+'Public Exp Ratio'!C27</f>
        <v>27259.37</v>
      </c>
      <c r="D27" s="243">
        <f ca="1">+'Public Exp Ratio'!D27</f>
        <v>30903.15</v>
      </c>
      <c r="E27" s="243">
        <f ca="1">+'Public Exp Ratio'!E27</f>
        <v>34068.44</v>
      </c>
      <c r="F27" s="243">
        <f ca="1">+'Public Exp Ratio'!F27</f>
        <v>38790.239999999998</v>
      </c>
      <c r="G27" s="243">
        <f ca="1">+'Public Exp Ratio'!G27</f>
        <v>50896.07</v>
      </c>
      <c r="H27" s="243">
        <f ca="1">+'Public Exp Ratio'!H27</f>
        <v>58976.21</v>
      </c>
      <c r="I27" s="243">
        <f ca="1">+'Public Exp Ratio'!I27</f>
        <v>61175</v>
      </c>
      <c r="J27" s="73">
        <v>9010</v>
      </c>
      <c r="K27" s="73">
        <v>10860</v>
      </c>
      <c r="L27" s="18">
        <v>12030</v>
      </c>
      <c r="M27" s="18">
        <v>13619.999999999998</v>
      </c>
      <c r="N27" s="18">
        <v>18740</v>
      </c>
      <c r="O27" s="18">
        <v>21700</v>
      </c>
      <c r="P27" s="18">
        <v>26080</v>
      </c>
      <c r="Q27" s="125">
        <f t="shared" si="7"/>
        <v>33.05285485321194</v>
      </c>
      <c r="R27" s="125">
        <f t="shared" si="8"/>
        <v>35.142048626110928</v>
      </c>
      <c r="S27" s="125">
        <f t="shared" si="9"/>
        <v>35.311273424905863</v>
      </c>
      <c r="T27" s="125">
        <f t="shared" si="10"/>
        <v>35.111925061561877</v>
      </c>
      <c r="U27" s="125">
        <f t="shared" si="11"/>
        <v>36.82013169189684</v>
      </c>
      <c r="V27" s="125">
        <f t="shared" si="12"/>
        <v>36.794497306625843</v>
      </c>
      <c r="W27" s="125">
        <f t="shared" si="12"/>
        <v>42.631794033510424</v>
      </c>
    </row>
    <row r="28" spans="1:23" ht="18.75" customHeight="1">
      <c r="A28" s="3">
        <v>21</v>
      </c>
      <c r="B28" s="6" t="s">
        <v>34</v>
      </c>
      <c r="C28" s="243">
        <f ca="1">+'Public Exp Ratio'!C28</f>
        <v>33590.75</v>
      </c>
      <c r="D28" s="243">
        <f ca="1">+'Public Exp Ratio'!D28</f>
        <v>38089.22</v>
      </c>
      <c r="E28" s="243">
        <f ca="1">+'Public Exp Ratio'!E28</f>
        <v>47641.440000000002</v>
      </c>
      <c r="F28" s="243">
        <f ca="1">+'Public Exp Ratio'!F28</f>
        <v>57528.05</v>
      </c>
      <c r="G28" s="243">
        <f ca="1">+'Public Exp Ratio'!G28</f>
        <v>77613.119999999995</v>
      </c>
      <c r="H28" s="243">
        <f ca="1">+'Public Exp Ratio'!H28</f>
        <v>79920.69</v>
      </c>
      <c r="I28" s="243">
        <f ca="1">+'Public Exp Ratio'!I28</f>
        <v>91948.86</v>
      </c>
      <c r="J28" s="73">
        <v>12600</v>
      </c>
      <c r="K28" s="73">
        <v>14690</v>
      </c>
      <c r="L28" s="18">
        <v>17630</v>
      </c>
      <c r="M28" s="18">
        <v>23450</v>
      </c>
      <c r="N28" s="18">
        <v>27130</v>
      </c>
      <c r="O28" s="18">
        <v>35820</v>
      </c>
      <c r="P28" s="18">
        <v>39940</v>
      </c>
      <c r="Q28" s="125">
        <f t="shared" si="7"/>
        <v>37.510326503576138</v>
      </c>
      <c r="R28" s="125">
        <f t="shared" si="8"/>
        <v>38.567342675959232</v>
      </c>
      <c r="S28" s="125">
        <f t="shared" si="9"/>
        <v>37.005598487367294</v>
      </c>
      <c r="T28" s="125">
        <f t="shared" si="10"/>
        <v>40.762723575716542</v>
      </c>
      <c r="U28" s="125">
        <f t="shared" si="11"/>
        <v>34.955430215922256</v>
      </c>
      <c r="V28" s="125">
        <f t="shared" si="12"/>
        <v>44.819432865256793</v>
      </c>
      <c r="W28" s="125">
        <f t="shared" si="12"/>
        <v>43.437188889563174</v>
      </c>
    </row>
    <row r="29" spans="1:23" ht="18.75" customHeight="1">
      <c r="A29" s="3">
        <v>22</v>
      </c>
      <c r="B29" s="6" t="s">
        <v>35</v>
      </c>
      <c r="C29" s="243">
        <f ca="1">+'Public Exp Ratio'!C29</f>
        <v>77494.820000000007</v>
      </c>
      <c r="D29" s="243">
        <f ca="1">+'Public Exp Ratio'!D29</f>
        <v>95847.679999999993</v>
      </c>
      <c r="E29" s="243">
        <f ca="1">+'Public Exp Ratio'!E29</f>
        <v>113605.54</v>
      </c>
      <c r="F29" s="243">
        <f ca="1">+'Public Exp Ratio'!F29</f>
        <v>125381.42</v>
      </c>
      <c r="G29" s="243">
        <f ca="1">+'Public Exp Ratio'!G29</f>
        <v>142270.01999999999</v>
      </c>
      <c r="H29" s="243">
        <f ca="1">+'Public Exp Ratio'!H29</f>
        <v>160512.14000000001</v>
      </c>
      <c r="I29" s="243">
        <f ca="1">+'Public Exp Ratio'!I29</f>
        <v>179925.79</v>
      </c>
      <c r="J29" s="73">
        <v>29721</v>
      </c>
      <c r="K29" s="73">
        <v>36500</v>
      </c>
      <c r="L29" s="18">
        <v>47360</v>
      </c>
      <c r="M29" s="18">
        <v>53829.999999999993</v>
      </c>
      <c r="N29" s="18">
        <v>61130</v>
      </c>
      <c r="O29" s="18">
        <v>73820</v>
      </c>
      <c r="P29" s="18">
        <v>82540</v>
      </c>
      <c r="Q29" s="125">
        <f t="shared" si="7"/>
        <v>38.352240833645396</v>
      </c>
      <c r="R29" s="125">
        <f t="shared" si="8"/>
        <v>38.081255592206304</v>
      </c>
      <c r="S29" s="125">
        <f t="shared" si="9"/>
        <v>41.68810781586884</v>
      </c>
      <c r="T29" s="125">
        <f t="shared" si="10"/>
        <v>42.932995973406577</v>
      </c>
      <c r="U29" s="125">
        <f t="shared" si="11"/>
        <v>42.967590782654</v>
      </c>
      <c r="V29" s="125">
        <f t="shared" si="12"/>
        <v>45.990290827846415</v>
      </c>
      <c r="W29" s="125">
        <f t="shared" si="12"/>
        <v>45.874468579518251</v>
      </c>
    </row>
    <row r="30" spans="1:23" ht="18.75" customHeight="1">
      <c r="A30" s="3">
        <v>23</v>
      </c>
      <c r="B30" s="6" t="s">
        <v>74</v>
      </c>
      <c r="C30" s="243">
        <f ca="1">+'Public Exp Ratio'!C30</f>
        <v>20999.360000000001</v>
      </c>
      <c r="D30" s="243">
        <f ca="1">+'Public Exp Ratio'!D30</f>
        <v>24838.42</v>
      </c>
      <c r="E30" s="243">
        <f ca="1">+'Public Exp Ratio'!E30</f>
        <v>29042.63</v>
      </c>
      <c r="F30" s="243">
        <f ca="1">+'Public Exp Ratio'!F30</f>
        <v>33967.74</v>
      </c>
      <c r="G30" s="243">
        <f ca="1">+'Public Exp Ratio'!G30</f>
        <v>39777.339999999997</v>
      </c>
      <c r="H30" s="243">
        <f ca="1">+'Public Exp Ratio'!H30</f>
        <v>44075.76</v>
      </c>
      <c r="I30" s="243">
        <f ca="1">+'Public Exp Ratio'!I30</f>
        <v>57484.4</v>
      </c>
      <c r="J30" s="73">
        <v>8196</v>
      </c>
      <c r="K30" s="73">
        <v>11090</v>
      </c>
      <c r="L30" s="18">
        <v>12520</v>
      </c>
      <c r="M30" s="18">
        <v>15240</v>
      </c>
      <c r="N30" s="18">
        <v>18050</v>
      </c>
      <c r="O30" s="18">
        <v>21510</v>
      </c>
      <c r="P30" s="18">
        <v>24080</v>
      </c>
      <c r="Q30" s="125">
        <f t="shared" si="7"/>
        <v>39.029760906999066</v>
      </c>
      <c r="R30" s="125">
        <f t="shared" si="8"/>
        <v>44.648572654782392</v>
      </c>
      <c r="S30" s="125">
        <f t="shared" si="9"/>
        <v>43.109043499159682</v>
      </c>
      <c r="T30" s="125">
        <f t="shared" si="10"/>
        <v>44.866099422569775</v>
      </c>
      <c r="U30" s="125">
        <f t="shared" si="11"/>
        <v>45.377594379111322</v>
      </c>
      <c r="V30" s="125">
        <f t="shared" si="12"/>
        <v>48.80233488883686</v>
      </c>
      <c r="W30" s="125">
        <f t="shared" si="12"/>
        <v>41.889625707148376</v>
      </c>
    </row>
    <row r="31" spans="1:23" s="20" customFormat="1" ht="18.75" customHeight="1">
      <c r="A31" s="3">
        <v>24</v>
      </c>
      <c r="B31" s="6" t="s">
        <v>36</v>
      </c>
      <c r="C31" s="243">
        <f ca="1">+'Public Exp Ratio'!C31</f>
        <v>25287.31</v>
      </c>
      <c r="D31" s="243">
        <f ca="1">+'Public Exp Ratio'!D31</f>
        <v>27481.99</v>
      </c>
      <c r="E31" s="243">
        <f ca="1">+'Public Exp Ratio'!E31</f>
        <v>29603.19</v>
      </c>
      <c r="F31" s="243">
        <f ca="1">+'Public Exp Ratio'!F31</f>
        <v>35349.67</v>
      </c>
      <c r="G31" s="243">
        <f ca="1">+'Public Exp Ratio'!G31</f>
        <v>34820.050000000003</v>
      </c>
      <c r="H31" s="243">
        <f ca="1">+'Public Exp Ratio'!H31</f>
        <v>41571.279999999999</v>
      </c>
      <c r="I31" s="243">
        <f ca="1">+'Public Exp Ratio'!I31</f>
        <v>52063.75</v>
      </c>
      <c r="J31" s="73">
        <v>4991</v>
      </c>
      <c r="K31" s="73">
        <v>6860</v>
      </c>
      <c r="L31" s="18">
        <v>7110</v>
      </c>
      <c r="M31" s="18">
        <v>8350</v>
      </c>
      <c r="N31" s="18">
        <v>9970</v>
      </c>
      <c r="O31" s="18">
        <v>16870</v>
      </c>
      <c r="P31" s="18">
        <v>18050</v>
      </c>
      <c r="Q31" s="125">
        <f t="shared" si="7"/>
        <v>19.73717251854784</v>
      </c>
      <c r="R31" s="125">
        <f t="shared" si="8"/>
        <v>24.961802256677917</v>
      </c>
      <c r="S31" s="125">
        <f t="shared" si="9"/>
        <v>24.017681878202993</v>
      </c>
      <c r="T31" s="125">
        <f t="shared" si="10"/>
        <v>23.621154030575109</v>
      </c>
      <c r="U31" s="125">
        <f t="shared" si="11"/>
        <v>28.632928442090115</v>
      </c>
      <c r="V31" s="125">
        <f t="shared" si="12"/>
        <v>40.580901045144628</v>
      </c>
      <c r="W31" s="125">
        <f t="shared" si="12"/>
        <v>34.669035557369568</v>
      </c>
    </row>
    <row r="32" spans="1:23" ht="18.75" customHeight="1">
      <c r="A32" s="3">
        <v>25</v>
      </c>
      <c r="B32" s="6" t="s">
        <v>37</v>
      </c>
      <c r="C32" s="243">
        <f ca="1">+'Public Exp Ratio'!C32</f>
        <v>35970.89</v>
      </c>
      <c r="D32" s="243">
        <f ca="1">+'Public Exp Ratio'!D32</f>
        <v>40535.61</v>
      </c>
      <c r="E32" s="243">
        <f ca="1">+'Public Exp Ratio'!E32</f>
        <v>45804.74</v>
      </c>
      <c r="F32" s="243">
        <f ca="1">+'Public Exp Ratio'!F32</f>
        <v>50386.080000000002</v>
      </c>
      <c r="G32" s="243">
        <f ca="1">+'Public Exp Ratio'!G32</f>
        <v>61881.66</v>
      </c>
      <c r="H32" s="243">
        <f ca="1">+'Public Exp Ratio'!H32</f>
        <v>76557.2</v>
      </c>
      <c r="I32" s="243">
        <f ca="1">+'Public Exp Ratio'!I32</f>
        <v>90439.65</v>
      </c>
      <c r="J32" s="73">
        <v>14683</v>
      </c>
      <c r="K32" s="73">
        <v>19430</v>
      </c>
      <c r="L32" s="18">
        <v>21580</v>
      </c>
      <c r="M32" s="18">
        <v>22790</v>
      </c>
      <c r="N32" s="18">
        <v>27850</v>
      </c>
      <c r="O32" s="18">
        <v>36500</v>
      </c>
      <c r="P32" s="18">
        <v>40950</v>
      </c>
      <c r="Q32" s="125">
        <f t="shared" si="7"/>
        <v>40.819117903393547</v>
      </c>
      <c r="R32" s="125">
        <f t="shared" si="8"/>
        <v>47.933162964613089</v>
      </c>
      <c r="S32" s="125">
        <f t="shared" si="9"/>
        <v>47.113028040329453</v>
      </c>
      <c r="T32" s="125">
        <f t="shared" si="10"/>
        <v>45.230746269604623</v>
      </c>
      <c r="U32" s="125">
        <f t="shared" si="11"/>
        <v>45.005256807913682</v>
      </c>
      <c r="V32" s="125">
        <f t="shared" si="12"/>
        <v>47.676769787818785</v>
      </c>
      <c r="W32" s="125">
        <f t="shared" si="12"/>
        <v>45.278812998502325</v>
      </c>
    </row>
    <row r="33" spans="1:23" ht="18.75" customHeight="1">
      <c r="A33" s="3">
        <v>26</v>
      </c>
      <c r="B33" s="6" t="s">
        <v>38</v>
      </c>
      <c r="C33" s="243">
        <f ca="1">+'Public Exp Ratio'!C33</f>
        <v>52218.8</v>
      </c>
      <c r="D33" s="243">
        <f ca="1">+'Public Exp Ratio'!D33</f>
        <v>65524.5</v>
      </c>
      <c r="E33" s="243">
        <f ca="1">+'Public Exp Ratio'!E33</f>
        <v>70238.490000000005</v>
      </c>
      <c r="F33" s="243">
        <f ca="1">+'Public Exp Ratio'!F33</f>
        <v>87604.49</v>
      </c>
      <c r="G33" s="243">
        <f ca="1">+'Public Exp Ratio'!G33</f>
        <v>105656.84</v>
      </c>
      <c r="H33" s="243">
        <f ca="1">+'Public Exp Ratio'!H33</f>
        <v>120574.03</v>
      </c>
      <c r="I33" s="243">
        <f ca="1">+'Public Exp Ratio'!I33</f>
        <v>131412.04</v>
      </c>
      <c r="J33" s="73">
        <v>19994</v>
      </c>
      <c r="K33" s="73">
        <v>26890</v>
      </c>
      <c r="L33" s="18">
        <v>29350</v>
      </c>
      <c r="M33" s="18">
        <v>36490</v>
      </c>
      <c r="N33" s="18">
        <v>41900</v>
      </c>
      <c r="O33" s="18">
        <v>51120</v>
      </c>
      <c r="P33" s="18">
        <v>56770</v>
      </c>
      <c r="Q33" s="125">
        <f t="shared" si="7"/>
        <v>38.288892123143384</v>
      </c>
      <c r="R33" s="125">
        <f t="shared" si="8"/>
        <v>41.038084991110196</v>
      </c>
      <c r="S33" s="125">
        <f t="shared" si="9"/>
        <v>41.786205825324544</v>
      </c>
      <c r="T33" s="125">
        <f t="shared" si="10"/>
        <v>41.653116181602108</v>
      </c>
      <c r="U33" s="125">
        <f t="shared" si="11"/>
        <v>39.656684792011575</v>
      </c>
      <c r="V33" s="125">
        <f t="shared" si="12"/>
        <v>42.397189510875599</v>
      </c>
      <c r="W33" s="125">
        <f t="shared" si="12"/>
        <v>43.199999025964438</v>
      </c>
    </row>
    <row r="34" spans="1:23" ht="18.75" customHeight="1">
      <c r="A34" s="3">
        <v>27</v>
      </c>
      <c r="B34" s="6" t="s">
        <v>39</v>
      </c>
      <c r="C34" s="243">
        <f ca="1">+'Public Exp Ratio'!C34</f>
        <v>82915.55</v>
      </c>
      <c r="D34" s="243">
        <f ca="1">+'Public Exp Ratio'!D34</f>
        <v>99121.62</v>
      </c>
      <c r="E34" s="243">
        <f ca="1">+'Public Exp Ratio'!E34</f>
        <v>115406.69</v>
      </c>
      <c r="F34" s="243">
        <f ca="1">+'Public Exp Ratio'!F34</f>
        <v>128916.63</v>
      </c>
      <c r="G34" s="243">
        <f ca="1">+'Public Exp Ratio'!G34</f>
        <v>146434.70000000001</v>
      </c>
      <c r="H34" s="243">
        <f ca="1">+'Public Exp Ratio'!H34</f>
        <v>178456.56</v>
      </c>
      <c r="I34" s="243">
        <f ca="1">+'Public Exp Ratio'!I34</f>
        <v>221201.19</v>
      </c>
      <c r="J34" s="73">
        <v>30006</v>
      </c>
      <c r="K34" s="73">
        <v>39510</v>
      </c>
      <c r="L34" s="18">
        <v>47250</v>
      </c>
      <c r="M34" s="18">
        <v>50670</v>
      </c>
      <c r="N34" s="18">
        <v>59720</v>
      </c>
      <c r="O34" s="18">
        <v>75210</v>
      </c>
      <c r="P34" s="18">
        <v>83500</v>
      </c>
      <c r="Q34" s="125">
        <f t="shared" si="7"/>
        <v>36.188628067955889</v>
      </c>
      <c r="R34" s="125">
        <f t="shared" si="8"/>
        <v>39.860123351494863</v>
      </c>
      <c r="S34" s="125">
        <f t="shared" si="9"/>
        <v>40.942167217515724</v>
      </c>
      <c r="T34" s="125">
        <f t="shared" si="10"/>
        <v>39.304471424671902</v>
      </c>
      <c r="U34" s="125">
        <f t="shared" si="11"/>
        <v>40.782683339399746</v>
      </c>
      <c r="V34" s="125">
        <f t="shared" si="12"/>
        <v>42.144710174845912</v>
      </c>
      <c r="W34" s="125">
        <f t="shared" si="12"/>
        <v>37.748440684247676</v>
      </c>
    </row>
    <row r="35" spans="1:23" ht="18.75" customHeight="1">
      <c r="A35" s="3">
        <v>28</v>
      </c>
      <c r="B35" s="13" t="s">
        <v>40</v>
      </c>
      <c r="C35" s="243">
        <f ca="1">+'Public Exp Ratio'!C35</f>
        <v>42064.28</v>
      </c>
      <c r="D35" s="243">
        <f ca="1">+'Public Exp Ratio'!D35</f>
        <v>56078.26</v>
      </c>
      <c r="E35" s="243">
        <f ca="1">+'Public Exp Ratio'!E35</f>
        <v>62263.38</v>
      </c>
      <c r="F35" s="243">
        <f ca="1">+'Public Exp Ratio'!F35</f>
        <v>67171.649999999994</v>
      </c>
      <c r="G35" s="243">
        <f ca="1">+'Public Exp Ratio'!G35</f>
        <v>76538.080000000002</v>
      </c>
      <c r="H35" s="243">
        <f ca="1">+'Public Exp Ratio'!H35</f>
        <v>87722.21</v>
      </c>
      <c r="I35" s="243">
        <f ca="1">+'Public Exp Ratio'!I35</f>
        <v>101978.82</v>
      </c>
      <c r="J35" s="73">
        <v>16192</v>
      </c>
      <c r="K35" s="73">
        <v>19470</v>
      </c>
      <c r="L35" s="18">
        <v>27700</v>
      </c>
      <c r="M35" s="18">
        <v>30560.000000000004</v>
      </c>
      <c r="N35" s="18">
        <v>35610</v>
      </c>
      <c r="O35" s="18">
        <v>43000</v>
      </c>
      <c r="P35" s="18">
        <v>47630</v>
      </c>
      <c r="Q35" s="125">
        <f t="shared" si="7"/>
        <v>38.49346761670472</v>
      </c>
      <c r="R35" s="125">
        <f t="shared" si="8"/>
        <v>34.719336869581902</v>
      </c>
      <c r="S35" s="125">
        <f t="shared" si="9"/>
        <v>44.488429635525733</v>
      </c>
      <c r="T35" s="125">
        <f t="shared" si="10"/>
        <v>45.495383841248511</v>
      </c>
      <c r="U35" s="125">
        <f t="shared" si="11"/>
        <v>46.525860068608985</v>
      </c>
      <c r="V35" s="125">
        <f t="shared" si="12"/>
        <v>49.018372884130478</v>
      </c>
      <c r="W35" s="125">
        <f t="shared" si="12"/>
        <v>46.705776748544444</v>
      </c>
    </row>
    <row r="36" spans="1:23" s="75" customFormat="1" ht="18.75" customHeight="1">
      <c r="A36" s="72"/>
      <c r="B36" s="5" t="s">
        <v>190</v>
      </c>
      <c r="C36" s="147">
        <f t="shared" ref="C36:K36" si="13">SUM(C19:C35)</f>
        <v>635983.46000000008</v>
      </c>
      <c r="D36" s="147">
        <f t="shared" si="13"/>
        <v>752435.17</v>
      </c>
      <c r="E36" s="147">
        <f t="shared" si="13"/>
        <v>858646.62</v>
      </c>
      <c r="F36" s="147">
        <f t="shared" si="13"/>
        <v>985363.88</v>
      </c>
      <c r="G36" s="147">
        <f t="shared" si="13"/>
        <v>1156232.5100000002</v>
      </c>
      <c r="H36" s="147">
        <f t="shared" si="13"/>
        <v>1336555.93</v>
      </c>
      <c r="I36" s="147">
        <f ca="1">SUM(I19:I35)</f>
        <v>1593916.58</v>
      </c>
      <c r="J36" s="74">
        <f t="shared" si="13"/>
        <v>239614</v>
      </c>
      <c r="K36" s="74">
        <f t="shared" si="13"/>
        <v>301710</v>
      </c>
      <c r="L36" s="66">
        <f>SUM(L19:L35)</f>
        <v>355820</v>
      </c>
      <c r="M36" s="66">
        <f>SUM(M19:M35)</f>
        <v>410630</v>
      </c>
      <c r="N36" s="66">
        <f>SUM(N19:N35)</f>
        <v>476370</v>
      </c>
      <c r="O36" s="66">
        <f>SUM(O19:O35)</f>
        <v>611930</v>
      </c>
      <c r="P36" s="66">
        <f>SUM(P19:P35)</f>
        <v>653330</v>
      </c>
      <c r="Q36" s="126">
        <f t="shared" si="7"/>
        <v>37.676137049224515</v>
      </c>
      <c r="R36" s="126">
        <f t="shared" si="8"/>
        <v>40.097806698748542</v>
      </c>
      <c r="S36" s="126">
        <f t="shared" si="9"/>
        <v>41.439632057248417</v>
      </c>
      <c r="T36" s="126">
        <f>+M36/F36*100</f>
        <v>41.672930004294457</v>
      </c>
      <c r="U36" s="126">
        <f>+N36/G36*100</f>
        <v>41.200190781696662</v>
      </c>
      <c r="V36" s="126">
        <f>+O36/H36*100</f>
        <v>45.784092252690094</v>
      </c>
      <c r="W36" s="126">
        <f>+P36/I36*100</f>
        <v>40.988970702594735</v>
      </c>
    </row>
    <row r="37" spans="1:23" s="75" customFormat="1" ht="18.75" customHeight="1">
      <c r="A37" s="72"/>
      <c r="B37" s="5" t="s">
        <v>42</v>
      </c>
      <c r="C37" s="147"/>
      <c r="D37" s="147"/>
      <c r="E37" s="146"/>
      <c r="F37" s="146"/>
      <c r="G37" s="146"/>
      <c r="H37" s="146"/>
      <c r="I37" s="146">
        <f ca="1">+I27-'Non Plan Exp Per Cap &amp; GSDP'!I27</f>
        <v>8774</v>
      </c>
      <c r="J37" s="74"/>
      <c r="K37" s="74"/>
      <c r="L37" s="66"/>
      <c r="M37" s="66"/>
      <c r="N37" s="66"/>
      <c r="O37" s="66"/>
      <c r="P37" s="66"/>
      <c r="Q37" s="125"/>
      <c r="R37" s="125"/>
      <c r="S37" s="144"/>
      <c r="T37" s="144"/>
      <c r="U37" s="144"/>
      <c r="V37" s="144"/>
      <c r="W37" s="144"/>
    </row>
    <row r="38" spans="1:23" ht="18.75" customHeight="1">
      <c r="A38" s="3">
        <v>29</v>
      </c>
      <c r="B38" s="13" t="s">
        <v>43</v>
      </c>
      <c r="C38" s="243">
        <f ca="1">+'Public Exp Ratio'!C38</f>
        <v>18159.63</v>
      </c>
      <c r="D38" s="243">
        <f ca="1">+'Public Exp Ratio'!D38</f>
        <v>20361.310000000001</v>
      </c>
      <c r="E38" s="243">
        <f ca="1">+'Public Exp Ratio'!E38</f>
        <v>24925.919999999998</v>
      </c>
      <c r="F38" s="243">
        <f ca="1">+'Public Exp Ratio'!F38</f>
        <v>25524.32</v>
      </c>
      <c r="G38" s="243">
        <f ca="1">+'Public Exp Ratio'!G38</f>
        <v>26402.42</v>
      </c>
      <c r="H38" s="243">
        <f ca="1">+'Public Exp Ratio'!H38</f>
        <v>29858.81</v>
      </c>
      <c r="I38" s="243">
        <f ca="1">+'Public Exp Ratio'!I38</f>
        <v>37450</v>
      </c>
      <c r="J38" s="73">
        <v>7353</v>
      </c>
      <c r="K38" s="73">
        <v>8920</v>
      </c>
      <c r="L38" s="18">
        <v>10510</v>
      </c>
      <c r="M38" s="18">
        <v>10810</v>
      </c>
      <c r="N38" s="18">
        <v>13210</v>
      </c>
      <c r="O38" s="18">
        <v>15570</v>
      </c>
      <c r="P38" s="18">
        <v>17490</v>
      </c>
      <c r="Q38" s="125">
        <f t="shared" ref="Q38:W39" si="14">+J38/C38*100</f>
        <v>40.490913085784236</v>
      </c>
      <c r="R38" s="125">
        <f t="shared" si="14"/>
        <v>43.808576167250536</v>
      </c>
      <c r="S38" s="125">
        <f t="shared" si="14"/>
        <v>42.164943159570441</v>
      </c>
      <c r="T38" s="125">
        <f t="shared" si="14"/>
        <v>42.351764905000408</v>
      </c>
      <c r="U38" s="125">
        <f t="shared" si="14"/>
        <v>50.033292402741871</v>
      </c>
      <c r="V38" s="125">
        <f t="shared" si="14"/>
        <v>52.145413698670509</v>
      </c>
      <c r="W38" s="125">
        <f t="shared" si="14"/>
        <v>46.702269692923899</v>
      </c>
    </row>
    <row r="39" spans="1:23" ht="18.75" customHeight="1">
      <c r="A39" s="3">
        <v>30</v>
      </c>
      <c r="B39" s="13" t="s">
        <v>44</v>
      </c>
      <c r="C39" s="243">
        <f ca="1">+'Public Exp Ratio'!C39</f>
        <v>2476</v>
      </c>
      <c r="D39" s="243">
        <f ca="1">+'Public Exp Ratio'!D39</f>
        <v>2834</v>
      </c>
      <c r="E39" s="243">
        <f ca="1">+'Public Exp Ratio'!E39</f>
        <v>3454</v>
      </c>
      <c r="F39" s="243">
        <f ca="1">+'Public Exp Ratio'!F39</f>
        <v>3913</v>
      </c>
      <c r="G39" s="243">
        <f ca="1">+'Public Exp Ratio'!G39</f>
        <v>3599</v>
      </c>
      <c r="H39" s="243">
        <f ca="1">+'Public Exp Ratio'!H39</f>
        <v>3356.34</v>
      </c>
      <c r="I39" s="243">
        <f ca="1">+'Public Exp Ratio'!I39</f>
        <v>3995.07</v>
      </c>
      <c r="J39" s="73">
        <v>927</v>
      </c>
      <c r="K39" s="73">
        <v>1060</v>
      </c>
      <c r="L39" s="18">
        <v>1370</v>
      </c>
      <c r="M39" s="18">
        <v>1560</v>
      </c>
      <c r="N39" s="18">
        <v>1720</v>
      </c>
      <c r="O39" s="18">
        <v>1500</v>
      </c>
      <c r="P39" s="18">
        <v>2120</v>
      </c>
      <c r="Q39" s="125">
        <f t="shared" si="14"/>
        <v>37.439418416801288</v>
      </c>
      <c r="R39" s="125">
        <f t="shared" si="14"/>
        <v>37.402964008468601</v>
      </c>
      <c r="S39" s="125">
        <f t="shared" si="14"/>
        <v>39.664157498552406</v>
      </c>
      <c r="T39" s="125">
        <f t="shared" si="14"/>
        <v>39.867109634551497</v>
      </c>
      <c r="U39" s="125">
        <f t="shared" si="14"/>
        <v>47.791053070297309</v>
      </c>
      <c r="V39" s="125">
        <f t="shared" si="14"/>
        <v>44.691538997836929</v>
      </c>
      <c r="W39" s="125">
        <f t="shared" si="14"/>
        <v>53.065403109332252</v>
      </c>
    </row>
    <row r="40" spans="1:23" ht="18.75" customHeight="1">
      <c r="A40" s="3"/>
      <c r="B40" s="5" t="s">
        <v>75</v>
      </c>
      <c r="C40" s="147">
        <f t="shared" ref="C40:K40" si="15">SUM(C38:C39)</f>
        <v>20635.63</v>
      </c>
      <c r="D40" s="147">
        <f t="shared" si="15"/>
        <v>23195.31</v>
      </c>
      <c r="E40" s="147">
        <f t="shared" si="15"/>
        <v>28379.919999999998</v>
      </c>
      <c r="F40" s="147">
        <f t="shared" si="15"/>
        <v>29437.32</v>
      </c>
      <c r="G40" s="147">
        <f>SUM(G38:G39)</f>
        <v>30001.42</v>
      </c>
      <c r="H40" s="147">
        <f t="shared" si="15"/>
        <v>33215.15</v>
      </c>
      <c r="I40" s="147">
        <f>SUM(I38:I39)</f>
        <v>41445.07</v>
      </c>
      <c r="J40" s="74">
        <f t="shared" si="15"/>
        <v>8280</v>
      </c>
      <c r="K40" s="74">
        <f t="shared" si="15"/>
        <v>9980</v>
      </c>
      <c r="L40" s="66">
        <f>SUM(L38:L39)</f>
        <v>11880</v>
      </c>
      <c r="M40" s="66">
        <f>SUM(M38:M39)</f>
        <v>12370</v>
      </c>
      <c r="N40" s="66">
        <f>SUM(N38:N39)</f>
        <v>14930</v>
      </c>
      <c r="O40" s="66">
        <f>SUM(O38:O39)</f>
        <v>17070</v>
      </c>
      <c r="P40" s="66">
        <f>SUM(P38:P39)</f>
        <v>19610</v>
      </c>
      <c r="Q40" s="126">
        <f t="shared" ref="Q40:W40" si="16">+J40/C40*100</f>
        <v>40.124774479868073</v>
      </c>
      <c r="R40" s="126">
        <f t="shared" si="16"/>
        <v>43.025939295486886</v>
      </c>
      <c r="S40" s="126">
        <f t="shared" si="16"/>
        <v>41.860583116513368</v>
      </c>
      <c r="T40" s="126">
        <f t="shared" si="16"/>
        <v>42.021488369185782</v>
      </c>
      <c r="U40" s="126">
        <f t="shared" si="16"/>
        <v>49.764311155938621</v>
      </c>
      <c r="V40" s="126">
        <f t="shared" si="16"/>
        <v>51.39221108439974</v>
      </c>
      <c r="W40" s="126">
        <f t="shared" si="16"/>
        <v>47.315639712998433</v>
      </c>
    </row>
    <row r="41" spans="1:23" ht="9" customHeight="1">
      <c r="A41" s="3"/>
      <c r="B41" s="5"/>
      <c r="C41" s="147"/>
      <c r="D41" s="147"/>
      <c r="E41" s="147"/>
      <c r="F41" s="147"/>
      <c r="G41" s="147"/>
      <c r="H41" s="147"/>
      <c r="I41" s="147"/>
      <c r="J41" s="74"/>
      <c r="K41" s="74"/>
      <c r="L41" s="66"/>
      <c r="M41" s="66"/>
      <c r="N41" s="66"/>
      <c r="O41" s="66"/>
      <c r="P41" s="66"/>
      <c r="Q41" s="125"/>
      <c r="R41" s="125"/>
      <c r="S41" s="125"/>
      <c r="T41" s="125"/>
      <c r="U41" s="125"/>
      <c r="V41" s="125"/>
      <c r="W41" s="125"/>
    </row>
    <row r="42" spans="1:23" s="75" customFormat="1">
      <c r="A42" s="72"/>
      <c r="B42" s="5" t="s">
        <v>46</v>
      </c>
      <c r="C42" s="147">
        <f t="shared" ref="C42:H42" si="17">+C17+C36+C40</f>
        <v>727674.4800000001</v>
      </c>
      <c r="D42" s="147">
        <f t="shared" si="17"/>
        <v>857173.90000000014</v>
      </c>
      <c r="E42" s="147">
        <f t="shared" si="17"/>
        <v>985722.17</v>
      </c>
      <c r="F42" s="147">
        <f t="shared" si="17"/>
        <v>1132810.05</v>
      </c>
      <c r="G42" s="147">
        <f>+G17+G36+G40</f>
        <v>1317398.7500000002</v>
      </c>
      <c r="H42" s="147">
        <f t="shared" si="17"/>
        <v>1513751.43</v>
      </c>
      <c r="I42" s="147">
        <f>+I17+I36+I40</f>
        <v>1812349.7300000002</v>
      </c>
      <c r="J42" s="74">
        <f>+J17+J36+J40</f>
        <v>273746</v>
      </c>
      <c r="K42" s="74">
        <f t="shared" ref="K42:P42" si="18">+K17+K36+K40</f>
        <v>341539</v>
      </c>
      <c r="L42" s="74">
        <f t="shared" si="18"/>
        <v>404830</v>
      </c>
      <c r="M42" s="66">
        <f t="shared" si="18"/>
        <v>464290</v>
      </c>
      <c r="N42" s="66">
        <f t="shared" si="18"/>
        <v>538520</v>
      </c>
      <c r="O42" s="66">
        <f t="shared" si="18"/>
        <v>689810</v>
      </c>
      <c r="P42" s="66">
        <f t="shared" si="18"/>
        <v>736580</v>
      </c>
      <c r="Q42" s="126">
        <f t="shared" ref="Q42:W42" si="19">+J42/C42*100</f>
        <v>37.619293725952843</v>
      </c>
      <c r="R42" s="126">
        <f t="shared" si="19"/>
        <v>39.844773621781989</v>
      </c>
      <c r="S42" s="126">
        <f t="shared" si="19"/>
        <v>41.069381649395183</v>
      </c>
      <c r="T42" s="126">
        <f t="shared" si="19"/>
        <v>40.985688642151437</v>
      </c>
      <c r="U42" s="126">
        <f t="shared" si="19"/>
        <v>40.877524743362628</v>
      </c>
      <c r="V42" s="126">
        <f t="shared" si="19"/>
        <v>45.569568842620349</v>
      </c>
      <c r="W42" s="126">
        <f t="shared" si="19"/>
        <v>40.642266103904781</v>
      </c>
    </row>
    <row r="43" spans="1:23">
      <c r="B43" s="119" t="s">
        <v>90</v>
      </c>
      <c r="C43" s="14"/>
      <c r="D43" s="14"/>
      <c r="J43" s="117"/>
      <c r="K43" s="117"/>
      <c r="L43" s="117"/>
      <c r="M43" s="117"/>
      <c r="N43" s="117"/>
      <c r="O43" s="117"/>
      <c r="P43" s="117"/>
    </row>
  </sheetData>
  <mergeCells count="6">
    <mergeCell ref="A1:V1"/>
    <mergeCell ref="B2:B3"/>
    <mergeCell ref="A2:A3"/>
    <mergeCell ref="C2:I2"/>
    <mergeCell ref="J2:P2"/>
    <mergeCell ref="Q2:W2"/>
  </mergeCells>
  <phoneticPr fontId="42" type="noConversion"/>
  <printOptions horizontalCentered="1"/>
  <pageMargins left="0.35433070866141736" right="0.15748031496062992" top="0.78740157480314965" bottom="0.39370078740157483" header="0" footer="0"/>
  <pageSetup paperSize="9" scale="54" orientation="landscape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W4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5" sqref="B5"/>
    </sheetView>
  </sheetViews>
  <sheetFormatPr defaultRowHeight="12.75"/>
  <cols>
    <col min="1" max="1" width="5.5703125" style="25" customWidth="1"/>
    <col min="2" max="2" width="37" customWidth="1"/>
    <col min="3" max="3" width="10.85546875" customWidth="1"/>
    <col min="4" max="4" width="13.140625" customWidth="1"/>
    <col min="5" max="9" width="10.85546875" style="14" customWidth="1"/>
    <col min="10" max="10" width="10.85546875" customWidth="1"/>
    <col min="11" max="15" width="12.7109375" customWidth="1"/>
    <col min="16" max="16" width="12.7109375" style="177" customWidth="1"/>
    <col min="17" max="22" width="11.42578125" customWidth="1"/>
  </cols>
  <sheetData>
    <row r="1" spans="1:23" ht="41.25" customHeight="1">
      <c r="A1" s="653" t="s">
        <v>104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653"/>
      <c r="T1" s="653"/>
      <c r="U1" s="653"/>
      <c r="V1" s="653"/>
    </row>
    <row r="2" spans="1:23" ht="39" customHeight="1">
      <c r="A2" s="599" t="s">
        <v>71</v>
      </c>
      <c r="B2" s="663" t="s">
        <v>120</v>
      </c>
      <c r="C2" s="638" t="s">
        <v>194</v>
      </c>
      <c r="D2" s="639"/>
      <c r="E2" s="639"/>
      <c r="F2" s="639"/>
      <c r="G2" s="639"/>
      <c r="H2" s="639"/>
      <c r="I2" s="640"/>
      <c r="J2" s="625" t="s">
        <v>185</v>
      </c>
      <c r="K2" s="625"/>
      <c r="L2" s="625"/>
      <c r="M2" s="625"/>
      <c r="N2" s="625"/>
      <c r="O2" s="625"/>
      <c r="P2" s="625"/>
      <c r="Q2" s="614" t="s">
        <v>76</v>
      </c>
      <c r="R2" s="614"/>
      <c r="S2" s="614"/>
      <c r="T2" s="614"/>
      <c r="U2" s="614"/>
      <c r="V2" s="614"/>
      <c r="W2" s="614"/>
    </row>
    <row r="3" spans="1:23" s="71" customFormat="1" ht="28.5" customHeight="1">
      <c r="A3" s="599"/>
      <c r="B3" s="663"/>
      <c r="C3" s="141" t="s">
        <v>48</v>
      </c>
      <c r="D3" s="141" t="s">
        <v>49</v>
      </c>
      <c r="E3" s="141" t="s">
        <v>5</v>
      </c>
      <c r="F3" s="141" t="s">
        <v>6</v>
      </c>
      <c r="G3" s="141" t="s">
        <v>7</v>
      </c>
      <c r="H3" s="141" t="s">
        <v>122</v>
      </c>
      <c r="I3" s="141" t="s">
        <v>139</v>
      </c>
      <c r="J3" s="70" t="s">
        <v>48</v>
      </c>
      <c r="K3" s="70" t="s">
        <v>49</v>
      </c>
      <c r="L3" s="76" t="s">
        <v>5</v>
      </c>
      <c r="M3" s="76" t="s">
        <v>6</v>
      </c>
      <c r="N3" s="76" t="s">
        <v>7</v>
      </c>
      <c r="O3" s="76" t="s">
        <v>122</v>
      </c>
      <c r="P3" s="76" t="s">
        <v>139</v>
      </c>
      <c r="Q3" s="141" t="s">
        <v>48</v>
      </c>
      <c r="R3" s="141" t="s">
        <v>49</v>
      </c>
      <c r="S3" s="141" t="s">
        <v>5</v>
      </c>
      <c r="T3" s="141" t="s">
        <v>6</v>
      </c>
      <c r="U3" s="141" t="s">
        <v>7</v>
      </c>
      <c r="V3" s="141" t="s">
        <v>122</v>
      </c>
      <c r="W3" s="141" t="s">
        <v>139</v>
      </c>
    </row>
    <row r="4" spans="1:23" s="77" customFormat="1" ht="19.5" customHeight="1">
      <c r="A4" s="103"/>
      <c r="B4" s="122">
        <v>41834</v>
      </c>
      <c r="C4" s="142" t="s">
        <v>73</v>
      </c>
      <c r="D4" s="142" t="s">
        <v>73</v>
      </c>
      <c r="E4" s="129" t="s">
        <v>8</v>
      </c>
      <c r="F4" s="129" t="s">
        <v>8</v>
      </c>
      <c r="G4" s="129" t="s">
        <v>8</v>
      </c>
      <c r="H4" s="129" t="s">
        <v>50</v>
      </c>
      <c r="I4" s="142" t="s">
        <v>10</v>
      </c>
      <c r="J4" s="660" t="s">
        <v>113</v>
      </c>
      <c r="K4" s="661"/>
      <c r="L4" s="661"/>
      <c r="M4" s="661"/>
      <c r="N4" s="662"/>
      <c r="O4" s="165"/>
      <c r="P4" s="247"/>
      <c r="Q4" s="142" t="s">
        <v>73</v>
      </c>
      <c r="R4" s="142" t="s">
        <v>73</v>
      </c>
      <c r="S4" s="142" t="s">
        <v>73</v>
      </c>
      <c r="T4" s="142" t="s">
        <v>73</v>
      </c>
      <c r="U4" s="142" t="s">
        <v>73</v>
      </c>
      <c r="V4" s="129" t="s">
        <v>50</v>
      </c>
      <c r="W4" s="142" t="s">
        <v>10</v>
      </c>
    </row>
    <row r="5" spans="1:23" ht="14.25" customHeight="1">
      <c r="A5" s="3"/>
      <c r="B5" s="4" t="s">
        <v>11</v>
      </c>
      <c r="C5" s="142"/>
      <c r="D5" s="142"/>
      <c r="E5" s="142"/>
      <c r="F5" s="142"/>
      <c r="G5" s="142"/>
      <c r="H5" s="142"/>
      <c r="I5" s="142"/>
      <c r="J5" s="72"/>
      <c r="K5" s="72"/>
      <c r="L5" s="72"/>
      <c r="M5" s="72"/>
      <c r="N5" s="72"/>
      <c r="O5" s="72"/>
      <c r="P5" s="173"/>
      <c r="Q5" s="142"/>
      <c r="R5" s="142"/>
      <c r="S5" s="143"/>
      <c r="T5" s="143"/>
      <c r="U5" s="143"/>
      <c r="V5" s="143"/>
      <c r="W5" s="143"/>
    </row>
    <row r="6" spans="1:23" ht="18" customHeight="1">
      <c r="A6" s="3">
        <v>1</v>
      </c>
      <c r="B6" s="6" t="s">
        <v>12</v>
      </c>
      <c r="C6" s="146">
        <f ca="1">+'Salaries (% Plan Expenditure)'!J6</f>
        <v>1616.79</v>
      </c>
      <c r="D6" s="146">
        <f ca="1">+'Salaries (% Plan Expenditure)'!K6</f>
        <v>2448.34</v>
      </c>
      <c r="E6" s="146">
        <f ca="1">+'Salaries (% Plan Expenditure)'!L6</f>
        <v>2342.83</v>
      </c>
      <c r="F6" s="146">
        <f ca="1">+'Salaries (% Plan Expenditure)'!M6</f>
        <v>2843.83</v>
      </c>
      <c r="G6" s="146">
        <f ca="1">+'Salaries (% Plan Expenditure)'!N6</f>
        <v>3595.27</v>
      </c>
      <c r="H6" s="146">
        <f ca="1">+'Salaries (% Plan Expenditure)'!O6</f>
        <v>2795.51</v>
      </c>
      <c r="I6" s="146">
        <f ca="1">+'Salaries (% Plan Expenditure)'!P6</f>
        <v>4875.8599999999997</v>
      </c>
      <c r="J6" s="73">
        <f ca="1">+'Revenue Deficit (%GSDP)'!J6</f>
        <v>4810</v>
      </c>
      <c r="K6" s="73">
        <f ca="1">+'Revenue Deficit (%GSDP)'!K6</f>
        <v>5687</v>
      </c>
      <c r="L6" s="73">
        <f ca="1">+'Revenue Deficit (%GSDP)'!L6</f>
        <v>7474</v>
      </c>
      <c r="M6" s="73">
        <f ca="1">+'Revenue Deficit (%GSDP)'!M6</f>
        <v>9013</v>
      </c>
      <c r="N6" s="73">
        <f ca="1">+'Revenue Deficit (%GSDP)'!N6</f>
        <v>10619</v>
      </c>
      <c r="O6" s="73">
        <f ca="1">+'Revenue Deficit (%GSDP)'!O6</f>
        <v>12091</v>
      </c>
      <c r="P6" s="55">
        <f ca="1">+'Revenue Deficit (%GSDP)'!P6</f>
        <v>13382</v>
      </c>
      <c r="Q6" s="125">
        <f t="shared" ref="Q6:W6" si="0">+C6/J6*100</f>
        <v>33.613097713097709</v>
      </c>
      <c r="R6" s="125">
        <f t="shared" si="0"/>
        <v>43.051521012836297</v>
      </c>
      <c r="S6" s="125">
        <f t="shared" si="0"/>
        <v>31.346400856301848</v>
      </c>
      <c r="T6" s="125">
        <f t="shared" si="0"/>
        <v>31.552535226894484</v>
      </c>
      <c r="U6" s="125">
        <f t="shared" si="0"/>
        <v>33.856954515491097</v>
      </c>
      <c r="V6" s="125">
        <f t="shared" si="0"/>
        <v>23.120585559507074</v>
      </c>
      <c r="W6" s="125">
        <f t="shared" si="0"/>
        <v>36.435958750560452</v>
      </c>
    </row>
    <row r="7" spans="1:23" ht="18" customHeight="1">
      <c r="A7" s="3">
        <v>2</v>
      </c>
      <c r="B7" s="6" t="s">
        <v>13</v>
      </c>
      <c r="C7" s="146">
        <f ca="1">+'Salaries (% Plan Expenditure)'!J7</f>
        <v>3538.2</v>
      </c>
      <c r="D7" s="146">
        <f ca="1">+'Salaries (% Plan Expenditure)'!K7</f>
        <v>5471.89</v>
      </c>
      <c r="E7" s="146">
        <f ca="1">+'Salaries (% Plan Expenditure)'!L7</f>
        <v>5382.92</v>
      </c>
      <c r="F7" s="146">
        <f ca="1">+'Salaries (% Plan Expenditure)'!M7</f>
        <v>6480.09</v>
      </c>
      <c r="G7" s="146">
        <f ca="1">+'Salaries (% Plan Expenditure)'!N7</f>
        <v>7218.1</v>
      </c>
      <c r="H7" s="146">
        <f ca="1">+'Salaries (% Plan Expenditure)'!O7</f>
        <v>9121.85</v>
      </c>
      <c r="I7" s="146">
        <f ca="1">+'Salaries (% Plan Expenditure)'!P7</f>
        <v>11198.1</v>
      </c>
      <c r="J7" s="73">
        <f ca="1">+'Revenue Deficit (%GSDP)'!J7</f>
        <v>71076</v>
      </c>
      <c r="K7" s="73">
        <f ca="1">+'Revenue Deficit (%GSDP)'!K7</f>
        <v>81074</v>
      </c>
      <c r="L7" s="73">
        <f ca="1">+'Revenue Deficit (%GSDP)'!L7</f>
        <v>95975</v>
      </c>
      <c r="M7" s="73">
        <f ca="1">+'Revenue Deficit (%GSDP)'!M7</f>
        <v>112688</v>
      </c>
      <c r="N7" s="73">
        <f ca="1">+'Revenue Deficit (%GSDP)'!N7</f>
        <v>125820</v>
      </c>
      <c r="O7" s="73">
        <f ca="1">+'Revenue Deficit (%GSDP)'!O7</f>
        <v>141621</v>
      </c>
      <c r="P7" s="55">
        <f ca="1">+'Revenue Deficit (%GSDP)'!P7</f>
        <v>162652</v>
      </c>
      <c r="Q7" s="125">
        <f t="shared" ref="Q7:Q17" si="1">+C7/J7*100</f>
        <v>4.9780516630086105</v>
      </c>
      <c r="R7" s="125">
        <f t="shared" ref="R7:R17" si="2">+D7/K7*100</f>
        <v>6.7492537681624194</v>
      </c>
      <c r="S7" s="125">
        <f t="shared" ref="S7:S16" si="3">+E7/L7*100</f>
        <v>5.6086689241990104</v>
      </c>
      <c r="T7" s="125">
        <f t="shared" ref="T7:T16" si="4">+F7/M7*100</f>
        <v>5.7504703251455345</v>
      </c>
      <c r="U7" s="125">
        <f t="shared" ref="U7:U16" si="5">+G7/N7*100</f>
        <v>5.7368462883484339</v>
      </c>
      <c r="V7" s="125">
        <f t="shared" ref="V7:W16" si="6">+H7/O7*100</f>
        <v>6.4410292258916408</v>
      </c>
      <c r="W7" s="125">
        <f t="shared" si="6"/>
        <v>6.8846986203674101</v>
      </c>
    </row>
    <row r="8" spans="1:23" ht="18" customHeight="1">
      <c r="A8" s="3">
        <v>3</v>
      </c>
      <c r="B8" s="6" t="s">
        <v>14</v>
      </c>
      <c r="C8" s="146">
        <f ca="1">+'Salaries (% Plan Expenditure)'!J8</f>
        <v>2524.65</v>
      </c>
      <c r="D8" s="146">
        <f ca="1">+'Salaries (% Plan Expenditure)'!K8</f>
        <v>2883.14</v>
      </c>
      <c r="E8" s="146">
        <f ca="1">+'Salaries (% Plan Expenditure)'!L8</f>
        <v>3199.46</v>
      </c>
      <c r="F8" s="146">
        <f ca="1">+'Salaries (% Plan Expenditure)'!M8</f>
        <v>3647.93</v>
      </c>
      <c r="G8" s="146">
        <f ca="1">+'Salaries (% Plan Expenditure)'!N8</f>
        <v>3942.83</v>
      </c>
      <c r="H8" s="146">
        <f ca="1">+'Salaries (% Plan Expenditure)'!O8</f>
        <v>4386.41</v>
      </c>
      <c r="I8" s="146">
        <f ca="1">+'Salaries (% Plan Expenditure)'!P8</f>
        <v>4294.7299999999996</v>
      </c>
      <c r="J8" s="73">
        <f ca="1">+'Revenue Deficit (%GSDP)'!J8</f>
        <v>33963</v>
      </c>
      <c r="K8" s="73">
        <f ca="1">+'Revenue Deficit (%GSDP)'!K8</f>
        <v>41483</v>
      </c>
      <c r="L8" s="73">
        <f ca="1">+'Revenue Deficit (%GSDP)'!L8</f>
        <v>48189</v>
      </c>
      <c r="M8" s="73">
        <f ca="1">+'Revenue Deficit (%GSDP)'!M8</f>
        <v>57452</v>
      </c>
      <c r="N8" s="73">
        <f ca="1">+'Revenue Deficit (%GSDP)'!N8</f>
        <v>64957</v>
      </c>
      <c r="O8" s="73">
        <f ca="1">+'Revenue Deficit (%GSDP)'!O8</f>
        <v>73710</v>
      </c>
      <c r="P8" s="55">
        <f ca="1">+'Revenue Deficit (%GSDP)'!P8</f>
        <v>82585</v>
      </c>
      <c r="Q8" s="125">
        <f t="shared" si="1"/>
        <v>7.4335306068368521</v>
      </c>
      <c r="R8" s="125">
        <f t="shared" si="2"/>
        <v>6.9501723597618303</v>
      </c>
      <c r="S8" s="125">
        <f t="shared" si="3"/>
        <v>6.63939903297433</v>
      </c>
      <c r="T8" s="125">
        <f t="shared" si="4"/>
        <v>6.3495265613033478</v>
      </c>
      <c r="U8" s="125">
        <f t="shared" si="5"/>
        <v>6.0699077851501766</v>
      </c>
      <c r="V8" s="125">
        <f t="shared" si="6"/>
        <v>5.9509021842355176</v>
      </c>
      <c r="W8" s="125">
        <f t="shared" si="6"/>
        <v>5.200375370830054</v>
      </c>
    </row>
    <row r="9" spans="1:23" ht="18" customHeight="1">
      <c r="A9" s="3">
        <v>4</v>
      </c>
      <c r="B9" s="6" t="s">
        <v>52</v>
      </c>
      <c r="C9" s="146">
        <f ca="1">+'Salaries (% Plan Expenditure)'!J9</f>
        <v>4164.4399999999996</v>
      </c>
      <c r="D9" s="146">
        <f ca="1">+'Salaries (% Plan Expenditure)'!K9</f>
        <v>5006.1400000000003</v>
      </c>
      <c r="E9" s="146">
        <f ca="1">+'Salaries (% Plan Expenditure)'!L9</f>
        <v>6688.41</v>
      </c>
      <c r="F9" s="146">
        <f ca="1">+'Salaries (% Plan Expenditure)'!M9</f>
        <v>6639</v>
      </c>
      <c r="G9" s="146">
        <f ca="1">+'Salaries (% Plan Expenditure)'!N9</f>
        <v>6721.86</v>
      </c>
      <c r="H9" s="146">
        <f ca="1">+'Salaries (% Plan Expenditure)'!O9</f>
        <v>6527.55</v>
      </c>
      <c r="I9" s="146">
        <f ca="1">+'Salaries (% Plan Expenditure)'!P9</f>
        <v>8732.52</v>
      </c>
      <c r="J9" s="73">
        <f ca="1">+'Revenue Deficit (%GSDP)'!J9</f>
        <v>37099</v>
      </c>
      <c r="K9" s="73">
        <f ca="1">+'Revenue Deficit (%GSDP)'!K9</f>
        <v>42315</v>
      </c>
      <c r="L9" s="73">
        <f ca="1">+'Revenue Deficit (%GSDP)'!L9</f>
        <v>48385</v>
      </c>
      <c r="M9" s="73">
        <f ca="1">+'Revenue Deficit (%GSDP)'!M9</f>
        <v>58073</v>
      </c>
      <c r="N9" s="73">
        <f ca="1">+'Revenue Deficit (%GSDP)'!N9</f>
        <v>65759</v>
      </c>
      <c r="O9" s="73">
        <f ca="1">+'Revenue Deficit (%GSDP)'!O9</f>
        <v>75574</v>
      </c>
      <c r="P9" s="55">
        <f ca="1">+'Revenue Deficit (%GSDP)'!P9</f>
        <v>87319</v>
      </c>
      <c r="Q9" s="125">
        <f t="shared" si="1"/>
        <v>11.225208226636836</v>
      </c>
      <c r="R9" s="125">
        <f t="shared" si="2"/>
        <v>11.830651069360748</v>
      </c>
      <c r="S9" s="125">
        <f t="shared" si="3"/>
        <v>13.823313010230443</v>
      </c>
      <c r="T9" s="125">
        <f t="shared" si="4"/>
        <v>11.432162967299778</v>
      </c>
      <c r="U9" s="125">
        <f t="shared" si="5"/>
        <v>10.221962012804331</v>
      </c>
      <c r="V9" s="125">
        <f t="shared" si="6"/>
        <v>8.637295895413768</v>
      </c>
      <c r="W9" s="125">
        <f t="shared" si="6"/>
        <v>10.000710040197438</v>
      </c>
    </row>
    <row r="10" spans="1:23" ht="18" customHeight="1">
      <c r="A10" s="3">
        <v>5</v>
      </c>
      <c r="B10" s="6" t="s">
        <v>16</v>
      </c>
      <c r="C10" s="146">
        <f ca="1">+'Salaries (% Plan Expenditure)'!J10</f>
        <v>1593.63</v>
      </c>
      <c r="D10" s="146">
        <f ca="1">+'Salaries (% Plan Expenditure)'!K10</f>
        <v>1954.59</v>
      </c>
      <c r="E10" s="146">
        <f ca="1">+'Salaries (% Plan Expenditure)'!L10</f>
        <v>2305.17</v>
      </c>
      <c r="F10" s="146">
        <f ca="1">+'Salaries (% Plan Expenditure)'!M10</f>
        <v>3019.18</v>
      </c>
      <c r="G10" s="146">
        <f ca="1">+'Salaries (% Plan Expenditure)'!N10</f>
        <v>2779.72</v>
      </c>
      <c r="H10" s="146">
        <f ca="1">+'Salaries (% Plan Expenditure)'!O10</f>
        <v>2560.89</v>
      </c>
      <c r="I10" s="146">
        <f ca="1">+'Salaries (% Plan Expenditure)'!P10</f>
        <v>4489.95</v>
      </c>
      <c r="J10" s="73">
        <f ca="1">+'Revenue Deficit (%GSDP)'!J10</f>
        <v>6783</v>
      </c>
      <c r="K10" s="73">
        <f ca="1">+'Revenue Deficit (%GSDP)'!K10</f>
        <v>7399</v>
      </c>
      <c r="L10" s="73">
        <f ca="1">+'Revenue Deficit (%GSDP)'!L10</f>
        <v>8254</v>
      </c>
      <c r="M10" s="73">
        <f ca="1">+'Revenue Deficit (%GSDP)'!M10</f>
        <v>9137</v>
      </c>
      <c r="N10" s="73">
        <f ca="1">+'Revenue Deficit (%GSDP)'!N10</f>
        <v>10504</v>
      </c>
      <c r="O10" s="73">
        <f ca="1">+'Revenue Deficit (%GSDP)'!O10</f>
        <v>11983</v>
      </c>
      <c r="P10" s="55">
        <f ca="1">+'Revenue Deficit (%GSDP)'!P10</f>
        <v>13433.125480627126</v>
      </c>
      <c r="Q10" s="125">
        <f t="shared" si="1"/>
        <v>23.494471472799646</v>
      </c>
      <c r="R10" s="125">
        <f t="shared" si="2"/>
        <v>26.416948236248139</v>
      </c>
      <c r="S10" s="125">
        <f t="shared" si="3"/>
        <v>27.927913738793315</v>
      </c>
      <c r="T10" s="125">
        <f t="shared" si="4"/>
        <v>33.043449709970446</v>
      </c>
      <c r="U10" s="125">
        <f t="shared" si="5"/>
        <v>26.463442498095961</v>
      </c>
      <c r="V10" s="125">
        <f t="shared" si="6"/>
        <v>21.371025619627805</v>
      </c>
      <c r="W10" s="125">
        <f t="shared" si="6"/>
        <v>33.424462583002587</v>
      </c>
    </row>
    <row r="11" spans="1:23" s="80" customFormat="1" ht="18" customHeight="1">
      <c r="A11" s="78">
        <v>6</v>
      </c>
      <c r="B11" s="79" t="s">
        <v>17</v>
      </c>
      <c r="C11" s="146">
        <f ca="1">+'Salaries (% Plan Expenditure)'!J11</f>
        <v>1128.24</v>
      </c>
      <c r="D11" s="146">
        <f ca="1">+'Salaries (% Plan Expenditure)'!K11</f>
        <v>1579.48</v>
      </c>
      <c r="E11" s="146">
        <f ca="1">+'Salaries (% Plan Expenditure)'!L11</f>
        <v>1537.87</v>
      </c>
      <c r="F11" s="146">
        <f ca="1">+'Salaries (% Plan Expenditure)'!M11</f>
        <v>2068.25</v>
      </c>
      <c r="G11" s="146">
        <f ca="1">+'Salaries (% Plan Expenditure)'!N11</f>
        <v>2846.2</v>
      </c>
      <c r="H11" s="146">
        <f ca="1">+'Salaries (% Plan Expenditure)'!O11</f>
        <v>2609.46</v>
      </c>
      <c r="I11" s="146">
        <f ca="1">+'Salaries (% Plan Expenditure)'!P11</f>
        <v>5637.15</v>
      </c>
      <c r="J11" s="73">
        <f ca="1">+'Revenue Deficit (%GSDP)'!J11</f>
        <v>9735</v>
      </c>
      <c r="K11" s="73">
        <f ca="1">+'Revenue Deficit (%GSDP)'!K11</f>
        <v>11617</v>
      </c>
      <c r="L11" s="73">
        <f ca="1">+'Revenue Deficit (%GSDP)'!L11</f>
        <v>12709</v>
      </c>
      <c r="M11" s="73">
        <f ca="1">+'Revenue Deficit (%GSDP)'!M11</f>
        <v>14583</v>
      </c>
      <c r="N11" s="73">
        <f ca="1">+'Revenue Deficit (%GSDP)'!N11</f>
        <v>16412</v>
      </c>
      <c r="O11" s="73">
        <f ca="1">+'Revenue Deficit (%GSDP)'!O11</f>
        <v>18135</v>
      </c>
      <c r="P11" s="55">
        <f ca="1">+'Revenue Deficit (%GSDP)'!P11</f>
        <v>20808</v>
      </c>
      <c r="Q11" s="145">
        <f t="shared" si="1"/>
        <v>11.589522342064715</v>
      </c>
      <c r="R11" s="145">
        <f t="shared" si="2"/>
        <v>13.596281311870534</v>
      </c>
      <c r="S11" s="125">
        <f t="shared" si="3"/>
        <v>12.100637343614761</v>
      </c>
      <c r="T11" s="125">
        <f t="shared" si="4"/>
        <v>14.182609888226017</v>
      </c>
      <c r="U11" s="125">
        <f t="shared" si="5"/>
        <v>17.342188642456737</v>
      </c>
      <c r="V11" s="125">
        <f t="shared" si="6"/>
        <v>14.389081885856081</v>
      </c>
      <c r="W11" s="125">
        <f t="shared" si="6"/>
        <v>27.091262975778545</v>
      </c>
    </row>
    <row r="12" spans="1:23" ht="18" customHeight="1">
      <c r="A12" s="3">
        <v>7</v>
      </c>
      <c r="B12" s="6" t="s">
        <v>18</v>
      </c>
      <c r="C12" s="146">
        <f ca="1">+'Salaries (% Plan Expenditure)'!J12</f>
        <v>1142.94</v>
      </c>
      <c r="D12" s="146">
        <f ca="1">+'Salaries (% Plan Expenditure)'!K12</f>
        <v>1119.3</v>
      </c>
      <c r="E12" s="146">
        <f ca="1">+'Salaries (% Plan Expenditure)'!L12</f>
        <v>1367.95</v>
      </c>
      <c r="F12" s="146">
        <f ca="1">+'Salaries (% Plan Expenditure)'!M12</f>
        <v>1833.88</v>
      </c>
      <c r="G12" s="146">
        <f ca="1">+'Salaries (% Plan Expenditure)'!N12</f>
        <v>1753.44</v>
      </c>
      <c r="H12" s="146">
        <f ca="1">+'Salaries (% Plan Expenditure)'!O12</f>
        <v>2271.21</v>
      </c>
      <c r="I12" s="146">
        <f ca="1">+'Salaries (% Plan Expenditure)'!P12</f>
        <v>2500.2199999999998</v>
      </c>
      <c r="J12" s="73">
        <f ca="1">+'Revenue Deficit (%GSDP)'!J12</f>
        <v>3816</v>
      </c>
      <c r="K12" s="73">
        <f ca="1">+'Revenue Deficit (%GSDP)'!K12</f>
        <v>4577</v>
      </c>
      <c r="L12" s="73">
        <f ca="1">+'Revenue Deficit (%GSDP)'!L12</f>
        <v>5260</v>
      </c>
      <c r="M12" s="73">
        <f ca="1">+'Revenue Deficit (%GSDP)'!M12</f>
        <v>6388</v>
      </c>
      <c r="N12" s="35">
        <f ca="1">+'Revenue Deficit (%GSDP)'!N12</f>
        <v>7198</v>
      </c>
      <c r="O12" s="73">
        <f ca="1">+'Revenue Deficit (%GSDP)'!O12</f>
        <v>8053</v>
      </c>
      <c r="P12" s="55">
        <f ca="1">+'Revenue Deficit (%GSDP)'!P12</f>
        <v>9366.0879379254438</v>
      </c>
      <c r="Q12" s="125">
        <f t="shared" si="1"/>
        <v>29.951257861635224</v>
      </c>
      <c r="R12" s="125">
        <f t="shared" si="2"/>
        <v>24.454883111208215</v>
      </c>
      <c r="S12" s="125">
        <f t="shared" si="3"/>
        <v>26.006653992395439</v>
      </c>
      <c r="T12" s="125">
        <f t="shared" si="4"/>
        <v>28.708202880400751</v>
      </c>
      <c r="U12" s="132">
        <f t="shared" si="5"/>
        <v>24.360100027785496</v>
      </c>
      <c r="V12" s="125">
        <f t="shared" si="6"/>
        <v>28.203278281385817</v>
      </c>
      <c r="W12" s="125">
        <f t="shared" si="6"/>
        <v>26.69438955271853</v>
      </c>
    </row>
    <row r="13" spans="1:23" ht="18" customHeight="1">
      <c r="A13" s="3">
        <v>8</v>
      </c>
      <c r="B13" s="6" t="s">
        <v>19</v>
      </c>
      <c r="C13" s="146">
        <f ca="1">+'Salaries (% Plan Expenditure)'!J13</f>
        <v>1296.97</v>
      </c>
      <c r="D13" s="146">
        <f ca="1">+'Salaries (% Plan Expenditure)'!K13</f>
        <v>1396.74</v>
      </c>
      <c r="E13" s="146">
        <f ca="1">+'Salaries (% Plan Expenditure)'!L13</f>
        <v>1568.55</v>
      </c>
      <c r="F13" s="146">
        <f ca="1">+'Salaries (% Plan Expenditure)'!M13</f>
        <v>2009.42</v>
      </c>
      <c r="G13" s="146">
        <f ca="1">+'Salaries (% Plan Expenditure)'!N13</f>
        <v>2069.39</v>
      </c>
      <c r="H13" s="146">
        <f ca="1">+'Salaries (% Plan Expenditure)'!O13</f>
        <v>3106.7</v>
      </c>
      <c r="I13" s="146">
        <f ca="1">+'Salaries (% Plan Expenditure)'!P13</f>
        <v>2732.77</v>
      </c>
      <c r="J13" s="73">
        <f ca="1">+'Revenue Deficit (%GSDP)'!J13</f>
        <v>8075</v>
      </c>
      <c r="K13" s="73">
        <f ca="1">+'Revenue Deficit (%GSDP)'!K13</f>
        <v>9436</v>
      </c>
      <c r="L13" s="73">
        <f ca="1">+'Revenue Deficit (%GSDP)'!L13</f>
        <v>10527</v>
      </c>
      <c r="M13" s="73">
        <f ca="1">+'Revenue Deficit (%GSDP)'!M13</f>
        <v>11759</v>
      </c>
      <c r="N13" s="73">
        <f ca="1">+'Revenue Deficit (%GSDP)'!N13</f>
        <v>13203</v>
      </c>
      <c r="O13" s="73">
        <f ca="1">+'Revenue Deficit (%GSDP)'!O13</f>
        <v>14832</v>
      </c>
      <c r="P13" s="55">
        <f ca="1">+'Revenue Deficit (%GSDP)'!P13</f>
        <v>16703.207706222278</v>
      </c>
      <c r="Q13" s="125">
        <f t="shared" si="1"/>
        <v>16.061547987616098</v>
      </c>
      <c r="R13" s="125">
        <f t="shared" si="2"/>
        <v>14.802246714709622</v>
      </c>
      <c r="S13" s="125">
        <f t="shared" si="3"/>
        <v>14.900256483328583</v>
      </c>
      <c r="T13" s="125">
        <f t="shared" si="4"/>
        <v>17.088357853558978</v>
      </c>
      <c r="U13" s="125">
        <f t="shared" si="5"/>
        <v>15.673634779974247</v>
      </c>
      <c r="V13" s="125">
        <f t="shared" si="6"/>
        <v>20.945927723840345</v>
      </c>
      <c r="W13" s="125">
        <f t="shared" si="6"/>
        <v>16.360749671944681</v>
      </c>
    </row>
    <row r="14" spans="1:23" ht="18" customHeight="1">
      <c r="A14" s="3">
        <v>9</v>
      </c>
      <c r="B14" s="6" t="s">
        <v>20</v>
      </c>
      <c r="C14" s="146">
        <f ca="1">+'Salaries (% Plan Expenditure)'!J14</f>
        <v>835.26</v>
      </c>
      <c r="D14" s="146">
        <f ca="1">+'Salaries (% Plan Expenditure)'!K14</f>
        <v>1129.51</v>
      </c>
      <c r="E14" s="146">
        <f ca="1">+'Salaries (% Plan Expenditure)'!L14</f>
        <v>1257.8599999999999</v>
      </c>
      <c r="F14" s="146">
        <f ca="1">+'Salaries (% Plan Expenditure)'!M14</f>
        <v>1132.0899999999999</v>
      </c>
      <c r="G14" s="146">
        <f ca="1">+'Salaries (% Plan Expenditure)'!N14</f>
        <v>1413.31</v>
      </c>
      <c r="H14" s="146">
        <f ca="1">+'Salaries (% Plan Expenditure)'!O14</f>
        <v>1657.97</v>
      </c>
      <c r="I14" s="146">
        <f ca="1">+'Salaries (% Plan Expenditure)'!P14</f>
        <v>2550.11</v>
      </c>
      <c r="J14" s="73">
        <f ca="1">+'Revenue Deficit (%GSDP)'!J14</f>
        <v>2506</v>
      </c>
      <c r="K14" s="73">
        <f ca="1">+'Revenue Deficit (%GSDP)'!K14</f>
        <v>3229</v>
      </c>
      <c r="L14" s="73">
        <f ca="1">+'Revenue Deficit (%GSDP)'!L14</f>
        <v>6133</v>
      </c>
      <c r="M14" s="73">
        <f ca="1">+'Revenue Deficit (%GSDP)'!M14</f>
        <v>7412</v>
      </c>
      <c r="N14" s="73">
        <f ca="1">+'Revenue Deficit (%GSDP)'!N14</f>
        <v>8616</v>
      </c>
      <c r="O14" s="73">
        <f ca="1">+'Revenue Deficit (%GSDP)'!O14</f>
        <v>9957</v>
      </c>
      <c r="P14" s="55">
        <f ca="1">+'Revenue Deficit (%GSDP)'!P14</f>
        <v>13261.907960807141</v>
      </c>
      <c r="Q14" s="125">
        <f t="shared" si="1"/>
        <v>33.330407023144453</v>
      </c>
      <c r="R14" s="125">
        <f t="shared" si="2"/>
        <v>34.980179622174049</v>
      </c>
      <c r="S14" s="125">
        <f t="shared" si="3"/>
        <v>20.509701614218162</v>
      </c>
      <c r="T14" s="125">
        <f t="shared" si="4"/>
        <v>15.273745277927683</v>
      </c>
      <c r="U14" s="125">
        <f t="shared" si="5"/>
        <v>16.403319405756729</v>
      </c>
      <c r="V14" s="125">
        <f t="shared" si="6"/>
        <v>16.651300592547958</v>
      </c>
      <c r="W14" s="125">
        <f t="shared" si="6"/>
        <v>19.228831986591441</v>
      </c>
    </row>
    <row r="15" spans="1:23" ht="18" customHeight="1">
      <c r="A15" s="3">
        <v>10</v>
      </c>
      <c r="B15" s="6" t="s">
        <v>21</v>
      </c>
      <c r="C15" s="146">
        <f ca="1">+'Salaries (% Plan Expenditure)'!J15</f>
        <v>1424.19</v>
      </c>
      <c r="D15" s="146">
        <f ca="1">+'Salaries (% Plan Expenditure)'!K15</f>
        <v>1795.73</v>
      </c>
      <c r="E15" s="146">
        <f ca="1">+'Salaries (% Plan Expenditure)'!L15</f>
        <v>2077.33</v>
      </c>
      <c r="F15" s="146">
        <f ca="1">+'Salaries (% Plan Expenditure)'!M15</f>
        <v>1887.29</v>
      </c>
      <c r="G15" s="146">
        <f ca="1">+'Salaries (% Plan Expenditure)'!N15</f>
        <v>2396.87</v>
      </c>
      <c r="H15" s="146">
        <f ca="1">+'Salaries (% Plan Expenditure)'!O15</f>
        <v>2688.59</v>
      </c>
      <c r="I15" s="146">
        <f ca="1">+'Salaries (% Plan Expenditure)'!P15</f>
        <v>3812.09</v>
      </c>
      <c r="J15" s="73">
        <f ca="1">+'Revenue Deficit (%GSDP)'!J15</f>
        <v>11797</v>
      </c>
      <c r="K15" s="73">
        <f ca="1">+'Revenue Deficit (%GSDP)'!K15</f>
        <v>13573</v>
      </c>
      <c r="L15" s="73">
        <f ca="1">+'Revenue Deficit (%GSDP)'!L15</f>
        <v>15403</v>
      </c>
      <c r="M15" s="73">
        <f ca="1">+'Revenue Deficit (%GSDP)'!M15</f>
        <v>17868</v>
      </c>
      <c r="N15" s="73">
        <f ca="1">+'Revenue Deficit (%GSDP)'!N15</f>
        <v>20982</v>
      </c>
      <c r="O15" s="73">
        <f ca="1">+'Revenue Deficit (%GSDP)'!O15</f>
        <v>23855</v>
      </c>
      <c r="P15" s="55">
        <f ca="1">+'Revenue Deficit (%GSDP)'!P15</f>
        <v>27499.381963863005</v>
      </c>
      <c r="Q15" s="125">
        <f t="shared" si="1"/>
        <v>12.072476053233872</v>
      </c>
      <c r="R15" s="125">
        <f t="shared" si="2"/>
        <v>13.230162823252044</v>
      </c>
      <c r="S15" s="125">
        <f t="shared" si="3"/>
        <v>13.486528598325002</v>
      </c>
      <c r="T15" s="125">
        <f t="shared" si="4"/>
        <v>10.562402059547795</v>
      </c>
      <c r="U15" s="125">
        <f t="shared" si="5"/>
        <v>11.423458202268611</v>
      </c>
      <c r="V15" s="125">
        <f t="shared" si="6"/>
        <v>11.270551247118005</v>
      </c>
      <c r="W15" s="125">
        <f t="shared" si="6"/>
        <v>13.862456999977219</v>
      </c>
    </row>
    <row r="16" spans="1:23" ht="18" customHeight="1">
      <c r="A16" s="3">
        <v>11</v>
      </c>
      <c r="B16" s="6" t="s">
        <v>22</v>
      </c>
      <c r="C16" s="146">
        <f ca="1">+'Salaries (% Plan Expenditure)'!J16</f>
        <v>4186.13</v>
      </c>
      <c r="D16" s="146">
        <f ca="1">+'Salaries (% Plan Expenditure)'!K16</f>
        <v>4192.3999999999996</v>
      </c>
      <c r="E16" s="146">
        <f ca="1">+'Salaries (% Plan Expenditure)'!L16</f>
        <v>3810.16</v>
      </c>
      <c r="F16" s="146">
        <f ca="1">+'Salaries (% Plan Expenditure)'!M16</f>
        <v>4367.29</v>
      </c>
      <c r="G16" s="146">
        <f ca="1">+'Salaries (% Plan Expenditure)'!N16</f>
        <v>4625.12</v>
      </c>
      <c r="H16" s="146">
        <f ca="1">+'Salaries (% Plan Expenditure)'!O16</f>
        <v>5511.09</v>
      </c>
      <c r="I16" s="146">
        <f ca="1">+'Salaries (% Plan Expenditure)'!P16</f>
        <v>8710.3799999999992</v>
      </c>
      <c r="J16" s="73">
        <f ca="1">+'Revenue Deficit (%GSDP)'!J16</f>
        <v>45856</v>
      </c>
      <c r="K16" s="73">
        <f ca="1">+'Revenue Deficit (%GSDP)'!K16</f>
        <v>56025</v>
      </c>
      <c r="L16" s="73">
        <f ca="1">+'Revenue Deficit (%GSDP)'!L16</f>
        <v>70730</v>
      </c>
      <c r="M16" s="73">
        <f ca="1">+'Revenue Deficit (%GSDP)'!M16</f>
        <v>83969</v>
      </c>
      <c r="N16" s="73">
        <f ca="1">+'Revenue Deficit (%GSDP)'!N16</f>
        <v>97696</v>
      </c>
      <c r="O16" s="73">
        <f ca="1">+'Revenue Deficit (%GSDP)'!O16</f>
        <v>113958</v>
      </c>
      <c r="P16" s="55">
        <f ca="1">+'Revenue Deficit (%GSDP)'!P16</f>
        <v>132969</v>
      </c>
      <c r="Q16" s="125">
        <f t="shared" si="1"/>
        <v>9.1288599092812284</v>
      </c>
      <c r="R16" s="125">
        <f t="shared" si="2"/>
        <v>7.4830879071842924</v>
      </c>
      <c r="S16" s="125">
        <f t="shared" si="3"/>
        <v>5.3869079598473064</v>
      </c>
      <c r="T16" s="125">
        <f t="shared" si="4"/>
        <v>5.2010742059569601</v>
      </c>
      <c r="U16" s="125">
        <f t="shared" si="5"/>
        <v>4.73419587291189</v>
      </c>
      <c r="V16" s="125">
        <f t="shared" si="6"/>
        <v>4.8360711841204651</v>
      </c>
      <c r="W16" s="125">
        <f t="shared" si="6"/>
        <v>6.5506847460686313</v>
      </c>
    </row>
    <row r="17" spans="1:23" s="75" customFormat="1" ht="18" customHeight="1">
      <c r="A17" s="72"/>
      <c r="B17" s="4" t="s">
        <v>23</v>
      </c>
      <c r="C17" s="147">
        <f t="shared" ref="C17:O17" si="7">SUM(C6:C16)</f>
        <v>23451.439999999999</v>
      </c>
      <c r="D17" s="147">
        <f t="shared" si="7"/>
        <v>28977.260000000002</v>
      </c>
      <c r="E17" s="147">
        <f t="shared" si="7"/>
        <v>31538.51</v>
      </c>
      <c r="F17" s="147">
        <f t="shared" si="7"/>
        <v>35928.25</v>
      </c>
      <c r="G17" s="147">
        <f t="shared" si="7"/>
        <v>39362.110000000008</v>
      </c>
      <c r="H17" s="147">
        <f t="shared" si="7"/>
        <v>43237.229999999996</v>
      </c>
      <c r="I17" s="147">
        <f ca="1">SUM(I6:I16)</f>
        <v>59533.88</v>
      </c>
      <c r="J17" s="74">
        <f t="shared" si="7"/>
        <v>235516</v>
      </c>
      <c r="K17" s="74">
        <f t="shared" si="7"/>
        <v>276415</v>
      </c>
      <c r="L17" s="74">
        <f t="shared" si="7"/>
        <v>329039</v>
      </c>
      <c r="M17" s="74">
        <f t="shared" si="7"/>
        <v>388342</v>
      </c>
      <c r="N17" s="74">
        <f t="shared" si="7"/>
        <v>441766</v>
      </c>
      <c r="O17" s="74">
        <f t="shared" si="7"/>
        <v>503769</v>
      </c>
      <c r="P17" s="242">
        <f ca="1">SUM(P6:P16)</f>
        <v>579978.71104944497</v>
      </c>
      <c r="Q17" s="126">
        <f t="shared" si="1"/>
        <v>9.9574721038061096</v>
      </c>
      <c r="R17" s="126">
        <f t="shared" si="2"/>
        <v>10.48324439701174</v>
      </c>
      <c r="S17" s="126">
        <f>+E17/L17*100</f>
        <v>9.5850370320843421</v>
      </c>
      <c r="T17" s="126">
        <f>+F17/M17*100</f>
        <v>9.2517033954607015</v>
      </c>
      <c r="U17" s="126">
        <f>+G17/N17*100</f>
        <v>8.910171900961144</v>
      </c>
      <c r="V17" s="126">
        <f>+H17/N17*100</f>
        <v>9.7873602767075774</v>
      </c>
      <c r="W17" s="126">
        <f>+I17/O17*100</f>
        <v>11.817694220962386</v>
      </c>
    </row>
    <row r="18" spans="1:23" ht="18" customHeight="1">
      <c r="A18" s="3"/>
      <c r="B18" s="4" t="s">
        <v>189</v>
      </c>
      <c r="C18" s="147"/>
      <c r="D18" s="147"/>
      <c r="E18" s="147"/>
      <c r="F18" s="147"/>
      <c r="G18" s="147"/>
      <c r="H18" s="147"/>
      <c r="I18" s="147"/>
      <c r="J18" s="74"/>
      <c r="K18" s="74"/>
      <c r="L18" s="74"/>
      <c r="M18" s="74"/>
      <c r="N18" s="74"/>
      <c r="O18" s="74"/>
      <c r="P18" s="242"/>
      <c r="Q18" s="125"/>
      <c r="R18" s="125"/>
      <c r="S18" s="125"/>
      <c r="T18" s="125"/>
      <c r="U18" s="125"/>
      <c r="V18" s="125"/>
      <c r="W18" s="125"/>
    </row>
    <row r="19" spans="1:23" ht="18" customHeight="1">
      <c r="A19" s="3">
        <v>12</v>
      </c>
      <c r="B19" s="6" t="s">
        <v>25</v>
      </c>
      <c r="C19" s="146">
        <f ca="1">+'Salaries (% Plan Expenditure)'!J19</f>
        <v>28987.43</v>
      </c>
      <c r="D19" s="146">
        <f ca="1">+'Salaries (% Plan Expenditure)'!K19</f>
        <v>32700.639999999999</v>
      </c>
      <c r="E19" s="146">
        <f ca="1">+'Salaries (% Plan Expenditure)'!L19</f>
        <v>30910.26</v>
      </c>
      <c r="F19" s="146">
        <f ca="1">+'Salaries (% Plan Expenditure)'!M19</f>
        <v>34033.74</v>
      </c>
      <c r="G19" s="146">
        <f ca="1">+'Salaries (% Plan Expenditure)'!N19</f>
        <v>41973.1</v>
      </c>
      <c r="H19" s="146">
        <f ca="1">+'Salaries (% Plan Expenditure)'!O19</f>
        <v>43713.1</v>
      </c>
      <c r="I19" s="146">
        <f ca="1">+'Salaries (% Plan Expenditure)'!P19</f>
        <v>59422.48</v>
      </c>
      <c r="J19" s="73">
        <f ca="1">+'Revenue Deficit (%GSDP)'!J19</f>
        <v>364813</v>
      </c>
      <c r="K19" s="73">
        <f ca="1">+'Revenue Deficit (%GSDP)'!K19</f>
        <v>426765</v>
      </c>
      <c r="L19" s="73">
        <f ca="1">+'Revenue Deficit (%GSDP)'!L19</f>
        <v>476835</v>
      </c>
      <c r="M19" s="73">
        <f ca="1">+'Revenue Deficit (%GSDP)'!M19</f>
        <v>583762</v>
      </c>
      <c r="N19" s="73">
        <f ca="1">+'Revenue Deficit (%GSDP)'!N19</f>
        <v>662592</v>
      </c>
      <c r="O19" s="73">
        <f ca="1">+'Revenue Deficit (%GSDP)'!O19</f>
        <v>754409</v>
      </c>
      <c r="P19" s="55">
        <f ca="1">+'Revenue Deficit (%GSDP)'!P19</f>
        <v>857364</v>
      </c>
      <c r="Q19" s="125">
        <f t="shared" ref="Q19:W19" si="8">+C19/J19*100</f>
        <v>7.9458325224155937</v>
      </c>
      <c r="R19" s="125">
        <f t="shared" si="8"/>
        <v>7.6624465455227107</v>
      </c>
      <c r="S19" s="125">
        <f t="shared" si="8"/>
        <v>6.4823806977256275</v>
      </c>
      <c r="T19" s="125">
        <f t="shared" si="8"/>
        <v>5.8300711591367707</v>
      </c>
      <c r="U19" s="125">
        <f t="shared" si="8"/>
        <v>6.3346825799285229</v>
      </c>
      <c r="V19" s="125">
        <f t="shared" si="8"/>
        <v>5.7943502794903026</v>
      </c>
      <c r="W19" s="125">
        <f t="shared" si="8"/>
        <v>6.9308345113627352</v>
      </c>
    </row>
    <row r="20" spans="1:23" ht="18" customHeight="1">
      <c r="A20" s="3">
        <v>13</v>
      </c>
      <c r="B20" s="6" t="s">
        <v>26</v>
      </c>
      <c r="C20" s="146">
        <f ca="1">+'Salaries (% Plan Expenditure)'!J20</f>
        <v>10945.7</v>
      </c>
      <c r="D20" s="146">
        <f ca="1">+'Salaries (% Plan Expenditure)'!K20</f>
        <v>13813.74</v>
      </c>
      <c r="E20" s="146">
        <f ca="1">+'Salaries (% Plan Expenditure)'!L20</f>
        <v>16194.18</v>
      </c>
      <c r="F20" s="146">
        <f ca="1">+'Salaries (% Plan Expenditure)'!M20</f>
        <v>20910.54</v>
      </c>
      <c r="G20" s="146">
        <f ca="1">+'Salaries (% Plan Expenditure)'!N20</f>
        <v>22984.6</v>
      </c>
      <c r="H20" s="146">
        <f ca="1">+'Salaries (% Plan Expenditure)'!O20</f>
        <v>28381.16</v>
      </c>
      <c r="I20" s="146">
        <f ca="1">+'Salaries (% Plan Expenditure)'!P20</f>
        <v>39006.300000000003</v>
      </c>
      <c r="J20" s="73">
        <f ca="1">+'Revenue Deficit (%GSDP)'!J20</f>
        <v>113680</v>
      </c>
      <c r="K20" s="73">
        <f ca="1">+'Revenue Deficit (%GSDP)'!K20</f>
        <v>142279</v>
      </c>
      <c r="L20" s="73">
        <f ca="1">+'Revenue Deficit (%GSDP)'!L20</f>
        <v>162924</v>
      </c>
      <c r="M20" s="73">
        <f ca="1">+'Revenue Deficit (%GSDP)'!M20</f>
        <v>204289</v>
      </c>
      <c r="N20" s="73">
        <f ca="1">+'Revenue Deficit (%GSDP)'!N20</f>
        <v>247318</v>
      </c>
      <c r="O20" s="73">
        <f ca="1">+'Revenue Deficit (%GSDP)'!O20</f>
        <v>313995</v>
      </c>
      <c r="P20" s="55">
        <f ca="1">+'Revenue Deficit (%GSDP)'!P20</f>
        <v>368337</v>
      </c>
      <c r="Q20" s="125">
        <f t="shared" ref="Q20:Q36" si="9">+C20/J20*100</f>
        <v>9.6285186488388455</v>
      </c>
      <c r="R20" s="125">
        <f t="shared" ref="R20:R36" si="10">+D20/K20*100</f>
        <v>9.7089099586024652</v>
      </c>
      <c r="S20" s="125">
        <f t="shared" ref="S20:S35" si="11">+E20/L20*100</f>
        <v>9.9397142225823085</v>
      </c>
      <c r="T20" s="125">
        <f t="shared" ref="T20:T35" si="12">+F20/M20*100</f>
        <v>10.235764040158795</v>
      </c>
      <c r="U20" s="125">
        <f t="shared" ref="U20:U35" si="13">+G20/N20*100</f>
        <v>9.2935411090175393</v>
      </c>
      <c r="V20" s="125">
        <f t="shared" ref="V20:W35" si="14">+H20/O20*100</f>
        <v>9.0387299160814649</v>
      </c>
      <c r="W20" s="125">
        <f t="shared" si="14"/>
        <v>10.589840282132938</v>
      </c>
    </row>
    <row r="21" spans="1:23" ht="18" customHeight="1">
      <c r="A21" s="3">
        <v>14</v>
      </c>
      <c r="B21" s="6" t="s">
        <v>27</v>
      </c>
      <c r="C21" s="146">
        <f ca="1">+'Salaries (% Plan Expenditure)'!J21</f>
        <v>6676.77</v>
      </c>
      <c r="D21" s="146">
        <f ca="1">+'Salaries (% Plan Expenditure)'!K21</f>
        <v>8840.39</v>
      </c>
      <c r="E21" s="146">
        <f ca="1">+'Salaries (% Plan Expenditure)'!L21</f>
        <v>10449.52</v>
      </c>
      <c r="F21" s="146">
        <f ca="1">+'Salaries (% Plan Expenditure)'!M21</f>
        <v>11576.43</v>
      </c>
      <c r="G21" s="146">
        <f ca="1">+'Salaries (% Plan Expenditure)'!N21</f>
        <v>15319.55</v>
      </c>
      <c r="H21" s="146">
        <f ca="1">+'Salaries (% Plan Expenditure)'!O21</f>
        <v>19236.990000000002</v>
      </c>
      <c r="I21" s="146">
        <f ca="1">+'Salaries (% Plan Expenditure)'!P21</f>
        <v>24698.67</v>
      </c>
      <c r="J21" s="73">
        <f ca="1">+'Revenue Deficit (%GSDP)'!J21</f>
        <v>80255</v>
      </c>
      <c r="K21" s="73">
        <f ca="1">+'Revenue Deficit (%GSDP)'!K21</f>
        <v>96972</v>
      </c>
      <c r="L21" s="73">
        <f ca="1">+'Revenue Deficit (%GSDP)'!L21</f>
        <v>99364</v>
      </c>
      <c r="M21" s="73">
        <f ca="1">+'Revenue Deficit (%GSDP)'!M21</f>
        <v>119420</v>
      </c>
      <c r="N21" s="73">
        <f ca="1">+'Revenue Deficit (%GSDP)'!N21</f>
        <v>132872</v>
      </c>
      <c r="O21" s="73">
        <f ca="1">+'Revenue Deficit (%GSDP)'!O21</f>
        <v>153621</v>
      </c>
      <c r="P21" s="55">
        <f ca="1">+'Revenue Deficit (%GSDP)'!P21</f>
        <v>175961</v>
      </c>
      <c r="Q21" s="125">
        <f t="shared" si="9"/>
        <v>8.3194442713849615</v>
      </c>
      <c r="R21" s="125">
        <f t="shared" si="10"/>
        <v>9.1164356721527859</v>
      </c>
      <c r="S21" s="125">
        <f t="shared" si="11"/>
        <v>10.51640433154865</v>
      </c>
      <c r="T21" s="125">
        <f t="shared" si="12"/>
        <v>9.6938787472785126</v>
      </c>
      <c r="U21" s="125">
        <f t="shared" si="13"/>
        <v>11.529554759467759</v>
      </c>
      <c r="V21" s="125">
        <f t="shared" si="14"/>
        <v>12.522369988478138</v>
      </c>
      <c r="W21" s="125">
        <f t="shared" si="14"/>
        <v>14.036445576008319</v>
      </c>
    </row>
    <row r="22" spans="1:23" s="20" customFormat="1" ht="18" customHeight="1">
      <c r="A22" s="3">
        <v>15</v>
      </c>
      <c r="B22" s="6" t="s">
        <v>28</v>
      </c>
      <c r="C22" s="146">
        <f ca="1">+'Salaries (% Plan Expenditure)'!J22</f>
        <v>1250.81</v>
      </c>
      <c r="D22" s="146">
        <f ca="1">+'Salaries (% Plan Expenditure)'!K22</f>
        <v>1650.62</v>
      </c>
      <c r="E22" s="146">
        <f ca="1">+'Salaries (% Plan Expenditure)'!L22</f>
        <v>1896.33</v>
      </c>
      <c r="F22" s="146">
        <f ca="1">+'Salaries (% Plan Expenditure)'!M22</f>
        <v>2160</v>
      </c>
      <c r="G22" s="146">
        <f ca="1">+'Salaries (% Plan Expenditure)'!N22</f>
        <v>2307.4899999999998</v>
      </c>
      <c r="H22" s="146">
        <f ca="1">+'Salaries (% Plan Expenditure)'!O22</f>
        <v>3488.83</v>
      </c>
      <c r="I22" s="146">
        <f ca="1">+'Salaries (% Plan Expenditure)'!P22</f>
        <v>4453.47</v>
      </c>
      <c r="J22" s="73">
        <f ca="1">+'Revenue Deficit (%GSDP)'!J22</f>
        <v>19565</v>
      </c>
      <c r="K22" s="73">
        <f ca="1">+'Revenue Deficit (%GSDP)'!K22</f>
        <v>25414</v>
      </c>
      <c r="L22" s="73">
        <f ca="1">+'Revenue Deficit (%GSDP)'!L22</f>
        <v>29126</v>
      </c>
      <c r="M22" s="73">
        <f ca="1">+'Revenue Deficit (%GSDP)'!M22</f>
        <v>33605</v>
      </c>
      <c r="N22" s="73">
        <f ca="1">+'Revenue Deficit (%GSDP)'!N22</f>
        <v>36025</v>
      </c>
      <c r="O22" s="73">
        <f ca="1">+'Revenue Deficit (%GSDP)'!O22</f>
        <v>34965</v>
      </c>
      <c r="P22" s="55">
        <f ca="1">+'Revenue Deficit (%GSDP)'!P22</f>
        <v>39302.375411462228</v>
      </c>
      <c r="Q22" s="125">
        <f t="shared" si="9"/>
        <v>6.393099923332481</v>
      </c>
      <c r="R22" s="125">
        <f t="shared" si="10"/>
        <v>6.4949240576060436</v>
      </c>
      <c r="S22" s="125">
        <f t="shared" si="11"/>
        <v>6.5107807457254685</v>
      </c>
      <c r="T22" s="125">
        <f t="shared" si="12"/>
        <v>6.4276149382532362</v>
      </c>
      <c r="U22" s="125">
        <f t="shared" si="13"/>
        <v>6.4052463566967379</v>
      </c>
      <c r="V22" s="125">
        <f t="shared" si="14"/>
        <v>9.9780637780637775</v>
      </c>
      <c r="W22" s="125">
        <f t="shared" si="14"/>
        <v>11.33129983461809</v>
      </c>
    </row>
    <row r="23" spans="1:23" ht="18" customHeight="1">
      <c r="A23" s="3">
        <v>16</v>
      </c>
      <c r="B23" s="6" t="s">
        <v>29</v>
      </c>
      <c r="C23" s="146">
        <f ca="1">+'Salaries (% Plan Expenditure)'!J23</f>
        <v>14651.48</v>
      </c>
      <c r="D23" s="146">
        <f ca="1">+'Salaries (% Plan Expenditure)'!K23</f>
        <v>20754.98</v>
      </c>
      <c r="E23" s="146">
        <f ca="1">+'Salaries (% Plan Expenditure)'!L23</f>
        <v>21661.46</v>
      </c>
      <c r="F23" s="146">
        <f ca="1">+'Salaries (% Plan Expenditure)'!M23</f>
        <v>25798.27</v>
      </c>
      <c r="G23" s="146">
        <f ca="1">+'Salaries (% Plan Expenditure)'!N23</f>
        <v>30180.17</v>
      </c>
      <c r="H23" s="146">
        <f ca="1">+'Salaries (% Plan Expenditure)'!O23</f>
        <v>42057.17</v>
      </c>
      <c r="I23" s="146">
        <f ca="1">+'Salaries (% Plan Expenditure)'!P23</f>
        <v>48364.800000000003</v>
      </c>
      <c r="J23" s="73">
        <f ca="1">+'Revenue Deficit (%GSDP)'!J23</f>
        <v>329285</v>
      </c>
      <c r="K23" s="73">
        <f ca="1">+'Revenue Deficit (%GSDP)'!K23</f>
        <v>367912</v>
      </c>
      <c r="L23" s="73">
        <f ca="1">+'Revenue Deficit (%GSDP)'!L23</f>
        <v>431262</v>
      </c>
      <c r="M23" s="73">
        <f ca="1">+'Revenue Deficit (%GSDP)'!M23</f>
        <v>521519</v>
      </c>
      <c r="N23" s="35">
        <f ca="1">+'Revenue Deficit (%GSDP)'!N23</f>
        <v>594563</v>
      </c>
      <c r="O23" s="73">
        <f ca="1">+'Revenue Deficit (%GSDP)'!O23</f>
        <v>670016</v>
      </c>
      <c r="P23" s="55">
        <f ca="1">+'Revenue Deficit (%GSDP)'!P23</f>
        <v>776933.66658041347</v>
      </c>
      <c r="Q23" s="125">
        <f t="shared" si="9"/>
        <v>4.4494829706788952</v>
      </c>
      <c r="R23" s="125">
        <f t="shared" si="10"/>
        <v>5.641289221335537</v>
      </c>
      <c r="S23" s="125">
        <f t="shared" si="11"/>
        <v>5.0228074812990711</v>
      </c>
      <c r="T23" s="125">
        <f t="shared" si="12"/>
        <v>4.9467555352729242</v>
      </c>
      <c r="U23" s="132">
        <f t="shared" si="13"/>
        <v>5.0760255851776845</v>
      </c>
      <c r="V23" s="125">
        <f t="shared" si="14"/>
        <v>6.2770396527844108</v>
      </c>
      <c r="W23" s="125">
        <f t="shared" si="14"/>
        <v>6.225087427717253</v>
      </c>
    </row>
    <row r="24" spans="1:23" ht="18" customHeight="1">
      <c r="A24" s="3">
        <v>17</v>
      </c>
      <c r="B24" s="6" t="s">
        <v>30</v>
      </c>
      <c r="C24" s="146">
        <f ca="1">+'Salaries (% Plan Expenditure)'!J24</f>
        <v>6613</v>
      </c>
      <c r="D24" s="146">
        <f ca="1">+'Salaries (% Plan Expenditure)'!K24</f>
        <v>7928</v>
      </c>
      <c r="E24" s="146">
        <f ca="1">+'Salaries (% Plan Expenditure)'!L24</f>
        <v>10534</v>
      </c>
      <c r="F24" s="146">
        <f ca="1">+'Salaries (% Plan Expenditure)'!M24</f>
        <v>10635</v>
      </c>
      <c r="G24" s="146">
        <f ca="1">+'Salaries (% Plan Expenditure)'!N24</f>
        <v>12510</v>
      </c>
      <c r="H24" s="146">
        <f ca="1">+'Salaries (% Plan Expenditure)'!O24</f>
        <v>16335</v>
      </c>
      <c r="I24" s="146">
        <f ca="1">+'Salaries (% Plan Expenditure)'!P24</f>
        <v>20352</v>
      </c>
      <c r="J24" s="73">
        <f ca="1">+'Revenue Deficit (%GSDP)'!J24</f>
        <v>151596</v>
      </c>
      <c r="K24" s="73">
        <f ca="1">+'Revenue Deficit (%GSDP)'!K24</f>
        <v>182522</v>
      </c>
      <c r="L24" s="73">
        <f ca="1">+'Revenue Deficit (%GSDP)'!L24</f>
        <v>223600</v>
      </c>
      <c r="M24" s="73">
        <f ca="1">+'Revenue Deficit (%GSDP)'!M24</f>
        <v>260621</v>
      </c>
      <c r="N24" s="73">
        <f ca="1">+'Revenue Deficit (%GSDP)'!N24</f>
        <v>301959</v>
      </c>
      <c r="O24" s="73">
        <f ca="1">+'Revenue Deficit (%GSDP)'!O24</f>
        <v>345238</v>
      </c>
      <c r="P24" s="55">
        <f ca="1">+'Revenue Deficit (%GSDP)'!P24</f>
        <v>392894</v>
      </c>
      <c r="Q24" s="125">
        <f t="shared" si="9"/>
        <v>4.3622523021715613</v>
      </c>
      <c r="R24" s="125">
        <f t="shared" si="10"/>
        <v>4.3435859786765434</v>
      </c>
      <c r="S24" s="125">
        <f t="shared" si="11"/>
        <v>4.711091234347049</v>
      </c>
      <c r="T24" s="125">
        <f t="shared" si="12"/>
        <v>4.0806381680678072</v>
      </c>
      <c r="U24" s="125">
        <f t="shared" si="13"/>
        <v>4.1429465589699266</v>
      </c>
      <c r="V24" s="125">
        <f t="shared" si="14"/>
        <v>4.7315185466258063</v>
      </c>
      <c r="W24" s="125">
        <f t="shared" si="14"/>
        <v>5.1800231105590822</v>
      </c>
    </row>
    <row r="25" spans="1:23" ht="18" customHeight="1">
      <c r="A25" s="3">
        <v>18</v>
      </c>
      <c r="B25" s="6" t="s">
        <v>31</v>
      </c>
      <c r="C25" s="146">
        <f ca="1">+'Salaries (% Plan Expenditure)'!J25</f>
        <v>5953.78</v>
      </c>
      <c r="D25" s="146">
        <f ca="1">+'Salaries (% Plan Expenditure)'!K25</f>
        <v>7083.01</v>
      </c>
      <c r="E25" s="146">
        <f ca="1">+'Salaries (% Plan Expenditure)'!L25</f>
        <v>6732.57</v>
      </c>
      <c r="F25" s="146">
        <f ca="1">+'Salaries (% Plan Expenditure)'!M25</f>
        <v>8795.51</v>
      </c>
      <c r="G25" s="146">
        <f ca="1">+'Salaries (% Plan Expenditure)'!N25</f>
        <v>10943.67</v>
      </c>
      <c r="H25" s="146">
        <f ca="1">+'Salaries (% Plan Expenditure)'!O25</f>
        <v>12438.01</v>
      </c>
      <c r="I25" s="146">
        <f ca="1">+'Salaries (% Plan Expenditure)'!P25</f>
        <v>19151.900000000001</v>
      </c>
      <c r="J25" s="73">
        <f ca="1">+'Revenue Deficit (%GSDP)'!J25</f>
        <v>83950</v>
      </c>
      <c r="K25" s="73">
        <f ca="1">+'Revenue Deficit (%GSDP)'!K25</f>
        <v>87794</v>
      </c>
      <c r="L25" s="73">
        <f ca="1">+'Revenue Deficit (%GSDP)'!L25</f>
        <v>100621</v>
      </c>
      <c r="M25" s="73">
        <f ca="1">+'Revenue Deficit (%GSDP)'!M25</f>
        <v>127281</v>
      </c>
      <c r="N25" s="73">
        <f ca="1">+'Revenue Deficit (%GSDP)'!N25</f>
        <v>143891</v>
      </c>
      <c r="O25" s="73">
        <f ca="1">+'Revenue Deficit (%GSDP)'!O25</f>
        <v>164876</v>
      </c>
      <c r="P25" s="55">
        <f ca="1">+'Revenue Deficit (%GSDP)'!P25</f>
        <v>189208</v>
      </c>
      <c r="Q25" s="125">
        <f t="shared" si="9"/>
        <v>7.0920547945205472</v>
      </c>
      <c r="R25" s="125">
        <f t="shared" si="10"/>
        <v>8.0677608948219692</v>
      </c>
      <c r="S25" s="125">
        <f t="shared" si="11"/>
        <v>6.6910187734170794</v>
      </c>
      <c r="T25" s="125">
        <f t="shared" si="12"/>
        <v>6.9103086870781967</v>
      </c>
      <c r="U25" s="125">
        <f t="shared" si="13"/>
        <v>7.6055277953450879</v>
      </c>
      <c r="V25" s="125">
        <f t="shared" si="14"/>
        <v>7.5438572017758805</v>
      </c>
      <c r="W25" s="125">
        <f t="shared" si="14"/>
        <v>10.122140712866265</v>
      </c>
    </row>
    <row r="26" spans="1:23" ht="18" customHeight="1">
      <c r="A26" s="3">
        <v>19</v>
      </c>
      <c r="B26" s="6" t="s">
        <v>32</v>
      </c>
      <c r="C26" s="146">
        <f ca="1">+'Salaries (% Plan Expenditure)'!J26</f>
        <v>16263.04</v>
      </c>
      <c r="D26" s="146">
        <f ca="1">+'Salaries (% Plan Expenditure)'!K26</f>
        <v>19889.16</v>
      </c>
      <c r="E26" s="146">
        <f ca="1">+'Salaries (% Plan Expenditure)'!L26</f>
        <v>24337</v>
      </c>
      <c r="F26" s="146">
        <f ca="1">+'Salaries (% Plan Expenditure)'!M26</f>
        <v>29506</v>
      </c>
      <c r="G26" s="146">
        <f ca="1">+'Salaries (% Plan Expenditure)'!N26</f>
        <v>35219</v>
      </c>
      <c r="H26" s="146">
        <f ca="1">+'Salaries (% Plan Expenditure)'!O26</f>
        <v>37453</v>
      </c>
      <c r="I26" s="146">
        <f ca="1">+'Salaries (% Plan Expenditure)'!P26</f>
        <v>50847</v>
      </c>
      <c r="J26" s="73">
        <f ca="1">+'Revenue Deficit (%GSDP)'!J26</f>
        <v>270629</v>
      </c>
      <c r="K26" s="73">
        <f ca="1">+'Revenue Deficit (%GSDP)'!K26</f>
        <v>310312</v>
      </c>
      <c r="L26" s="73">
        <f ca="1">+'Revenue Deficit (%GSDP)'!L26</f>
        <v>337559</v>
      </c>
      <c r="M26" s="73">
        <f ca="1">+'Revenue Deficit (%GSDP)'!M26</f>
        <v>410703</v>
      </c>
      <c r="N26" s="73">
        <f ca="1">+'Revenue Deficit (%GSDP)'!N26</f>
        <v>458894</v>
      </c>
      <c r="O26" s="73">
        <f ca="1">+'Revenue Deficit (%GSDP)'!O26</f>
        <v>524502</v>
      </c>
      <c r="P26" s="55">
        <f ca="1">+'Revenue Deficit (%GSDP)'!P26</f>
        <v>593811</v>
      </c>
      <c r="Q26" s="125">
        <f t="shared" si="9"/>
        <v>6.0093485916143505</v>
      </c>
      <c r="R26" s="125">
        <f t="shared" si="10"/>
        <v>6.4094073061950558</v>
      </c>
      <c r="S26" s="125">
        <f t="shared" si="11"/>
        <v>7.2097026001380504</v>
      </c>
      <c r="T26" s="125">
        <f t="shared" si="12"/>
        <v>7.1842669763795248</v>
      </c>
      <c r="U26" s="125">
        <f t="shared" si="13"/>
        <v>7.6747571334556568</v>
      </c>
      <c r="V26" s="125">
        <f t="shared" si="14"/>
        <v>7.1406782052308664</v>
      </c>
      <c r="W26" s="125">
        <f t="shared" si="14"/>
        <v>8.5628255455018518</v>
      </c>
    </row>
    <row r="27" spans="1:23" ht="18" customHeight="1">
      <c r="A27" s="3">
        <v>20</v>
      </c>
      <c r="B27" s="6" t="s">
        <v>33</v>
      </c>
      <c r="C27" s="146">
        <f ca="1">+'Salaries (% Plan Expenditure)'!J27</f>
        <v>4548.87</v>
      </c>
      <c r="D27" s="146">
        <f ca="1">+'Salaries (% Plan Expenditure)'!K27</f>
        <v>5461.87</v>
      </c>
      <c r="E27" s="146">
        <f ca="1">+'Salaries (% Plan Expenditure)'!L27</f>
        <v>6785.41</v>
      </c>
      <c r="F27" s="146">
        <f ca="1">+'Salaries (% Plan Expenditure)'!M27</f>
        <v>7280.71</v>
      </c>
      <c r="G27" s="146">
        <f ca="1">+'Salaries (% Plan Expenditure)'!N27</f>
        <v>9141.98</v>
      </c>
      <c r="H27" s="146">
        <f ca="1">+'Salaries (% Plan Expenditure)'!O27</f>
        <v>11874.59</v>
      </c>
      <c r="I27" s="146">
        <f ca="1">+'Salaries (% Plan Expenditure)'!P27</f>
        <v>8774</v>
      </c>
      <c r="J27" s="73">
        <f ca="1">+'Revenue Deficit (%GSDP)'!J27</f>
        <v>175141</v>
      </c>
      <c r="K27" s="73">
        <f ca="1">+'Revenue Deficit (%GSDP)'!K27</f>
        <v>202783</v>
      </c>
      <c r="L27" s="73">
        <f ca="1">+'Revenue Deficit (%GSDP)'!L27</f>
        <v>231999</v>
      </c>
      <c r="M27" s="73">
        <f ca="1">+'Revenue Deficit (%GSDP)'!M27</f>
        <v>263773</v>
      </c>
      <c r="N27" s="73">
        <f ca="1">+'Revenue Deficit (%GSDP)'!N27</f>
        <v>307906</v>
      </c>
      <c r="O27" s="73">
        <f ca="1">+'Revenue Deficit (%GSDP)'!O27</f>
        <v>349338</v>
      </c>
      <c r="P27" s="55">
        <f ca="1">+'Revenue Deficit (%GSDP)'!P27</f>
        <v>401072.42420974676</v>
      </c>
      <c r="Q27" s="125">
        <f t="shared" si="9"/>
        <v>2.5972616349113</v>
      </c>
      <c r="R27" s="125">
        <f t="shared" si="10"/>
        <v>2.6934555658018668</v>
      </c>
      <c r="S27" s="125">
        <f t="shared" si="11"/>
        <v>2.9247582963719672</v>
      </c>
      <c r="T27" s="125">
        <f t="shared" si="12"/>
        <v>2.7602180662918494</v>
      </c>
      <c r="U27" s="125">
        <f t="shared" si="13"/>
        <v>2.9690814729170589</v>
      </c>
      <c r="V27" s="125">
        <f t="shared" si="14"/>
        <v>3.3991692859064857</v>
      </c>
      <c r="W27" s="125">
        <f t="shared" si="14"/>
        <v>2.1876348186459977</v>
      </c>
    </row>
    <row r="28" spans="1:23" ht="18" customHeight="1">
      <c r="A28" s="3">
        <v>21</v>
      </c>
      <c r="B28" s="6" t="s">
        <v>34</v>
      </c>
      <c r="C28" s="146">
        <f ca="1">+'Salaries (% Plan Expenditure)'!J28</f>
        <v>13763.15</v>
      </c>
      <c r="D28" s="146">
        <f ca="1">+'Salaries (% Plan Expenditure)'!K28</f>
        <v>14802.22</v>
      </c>
      <c r="E28" s="146">
        <f ca="1">+'Salaries (% Plan Expenditure)'!L28</f>
        <v>18378.41</v>
      </c>
      <c r="F28" s="146">
        <f ca="1">+'Salaries (% Plan Expenditure)'!M28</f>
        <v>22520.86</v>
      </c>
      <c r="G28" s="146">
        <f ca="1">+'Salaries (% Plan Expenditure)'!N28</f>
        <v>26268.66</v>
      </c>
      <c r="H28" s="146">
        <f ca="1">+'Salaries (% Plan Expenditure)'!O28</f>
        <v>31192.29</v>
      </c>
      <c r="I28" s="146">
        <f ca="1">+'Salaries (% Plan Expenditure)'!P28</f>
        <v>37608.17</v>
      </c>
      <c r="J28" s="73">
        <f ca="1">+'Revenue Deficit (%GSDP)'!J28</f>
        <v>161479</v>
      </c>
      <c r="K28" s="73">
        <f ca="1">+'Revenue Deficit (%GSDP)'!K28</f>
        <v>197276</v>
      </c>
      <c r="L28" s="73">
        <f ca="1">+'Revenue Deficit (%GSDP)'!L28</f>
        <v>227557</v>
      </c>
      <c r="M28" s="73">
        <f ca="1">+'Revenue Deficit (%GSDP)'!M28</f>
        <v>263396</v>
      </c>
      <c r="N28" s="73">
        <f ca="1">+'Revenue Deficit (%GSDP)'!N28</f>
        <v>311670</v>
      </c>
      <c r="O28" s="73">
        <f ca="1">+'Revenue Deficit (%GSDP)'!O28</f>
        <v>372171</v>
      </c>
      <c r="P28" s="55">
        <f ca="1">+'Revenue Deficit (%GSDP)'!P28</f>
        <v>450900</v>
      </c>
      <c r="Q28" s="125">
        <f t="shared" si="9"/>
        <v>8.5231825810167265</v>
      </c>
      <c r="R28" s="125">
        <f t="shared" si="10"/>
        <v>7.5033050142946935</v>
      </c>
      <c r="S28" s="125">
        <f t="shared" si="11"/>
        <v>8.076398440830209</v>
      </c>
      <c r="T28" s="125">
        <f t="shared" si="12"/>
        <v>8.5501905875563793</v>
      </c>
      <c r="U28" s="125">
        <f t="shared" si="13"/>
        <v>8.4283569159688128</v>
      </c>
      <c r="V28" s="125">
        <f t="shared" si="14"/>
        <v>8.3811715582353266</v>
      </c>
      <c r="W28" s="125">
        <f t="shared" si="14"/>
        <v>8.3406897316478155</v>
      </c>
    </row>
    <row r="29" spans="1:23" ht="18" customHeight="1">
      <c r="A29" s="3">
        <v>22</v>
      </c>
      <c r="B29" s="6" t="s">
        <v>35</v>
      </c>
      <c r="C29" s="146">
        <f ca="1">+'Salaries (% Plan Expenditure)'!J29</f>
        <v>19997.79</v>
      </c>
      <c r="D29" s="146">
        <f ca="1">+'Salaries (% Plan Expenditure)'!K29</f>
        <v>25692.48</v>
      </c>
      <c r="E29" s="146">
        <f ca="1">+'Salaries (% Plan Expenditure)'!L29</f>
        <v>31878.52</v>
      </c>
      <c r="F29" s="146">
        <f ca="1">+'Salaries (% Plan Expenditure)'!M29</f>
        <v>33256.410000000003</v>
      </c>
      <c r="G29" s="146">
        <f ca="1">+'Salaries (% Plan Expenditure)'!N29</f>
        <v>37507.58</v>
      </c>
      <c r="H29" s="146">
        <f ca="1">+'Salaries (% Plan Expenditure)'!O29</f>
        <v>49715.01</v>
      </c>
      <c r="I29" s="146">
        <f ca="1">+'Salaries (% Plan Expenditure)'!P29</f>
        <v>130380.03</v>
      </c>
      <c r="J29" s="73">
        <f ca="1">+'Revenue Deficit (%GSDP)'!J29</f>
        <v>684817</v>
      </c>
      <c r="K29" s="73">
        <f ca="1">+'Revenue Deficit (%GSDP)'!K29</f>
        <v>753969</v>
      </c>
      <c r="L29" s="73">
        <f ca="1">+'Revenue Deficit (%GSDP)'!L29</f>
        <v>855751</v>
      </c>
      <c r="M29" s="73">
        <f ca="1">+'Revenue Deficit (%GSDP)'!M29</f>
        <v>1035086</v>
      </c>
      <c r="N29" s="73">
        <f ca="1">+'Revenue Deficit (%GSDP)'!N29</f>
        <v>1199548</v>
      </c>
      <c r="O29" s="73">
        <f ca="1">+'Revenue Deficit (%GSDP)'!O29</f>
        <v>1372644</v>
      </c>
      <c r="P29" s="55">
        <f ca="1">+'Revenue Deficit (%GSDP)'!P29</f>
        <v>1586151.7193253073</v>
      </c>
      <c r="Q29" s="125">
        <f t="shared" si="9"/>
        <v>2.920165533273853</v>
      </c>
      <c r="R29" s="125">
        <f t="shared" si="10"/>
        <v>3.4076308177126649</v>
      </c>
      <c r="S29" s="125">
        <f t="shared" si="11"/>
        <v>3.7252097864916318</v>
      </c>
      <c r="T29" s="125">
        <f t="shared" si="12"/>
        <v>3.2129127434821845</v>
      </c>
      <c r="U29" s="125">
        <f t="shared" si="13"/>
        <v>3.1268094315525516</v>
      </c>
      <c r="V29" s="125">
        <f t="shared" si="14"/>
        <v>3.6218429541818566</v>
      </c>
      <c r="W29" s="125">
        <f t="shared" si="14"/>
        <v>8.2198965213402815</v>
      </c>
    </row>
    <row r="30" spans="1:23" ht="18" customHeight="1">
      <c r="A30" s="3">
        <v>23</v>
      </c>
      <c r="B30" s="6" t="s">
        <v>74</v>
      </c>
      <c r="C30" s="146">
        <f ca="1">+'Salaries (% Plan Expenditure)'!J30</f>
        <v>7045.88</v>
      </c>
      <c r="D30" s="146">
        <f ca="1">+'Salaries (% Plan Expenditure)'!K30</f>
        <v>8933.01</v>
      </c>
      <c r="E30" s="146">
        <f ca="1">+'Salaries (% Plan Expenditure)'!L30</f>
        <v>8892.2199999999993</v>
      </c>
      <c r="F30" s="146">
        <f ca="1">+'Salaries (% Plan Expenditure)'!M30</f>
        <v>11754.85</v>
      </c>
      <c r="G30" s="146">
        <f ca="1">+'Salaries (% Plan Expenditure)'!N30</f>
        <v>14157.54</v>
      </c>
      <c r="H30" s="146">
        <f ca="1">+'Salaries (% Plan Expenditure)'!O30</f>
        <v>17336.82</v>
      </c>
      <c r="I30" s="146">
        <f ca="1">+'Salaries (% Plan Expenditure)'!P30</f>
        <v>22344.52</v>
      </c>
      <c r="J30" s="73">
        <f ca="1">+'Revenue Deficit (%GSDP)'!J30</f>
        <v>129274</v>
      </c>
      <c r="K30" s="73">
        <f ca="1">+'Revenue Deficit (%GSDP)'!K30</f>
        <v>148491</v>
      </c>
      <c r="L30" s="73">
        <f ca="1">+'Revenue Deficit (%GSDP)'!L30</f>
        <v>162946</v>
      </c>
      <c r="M30" s="73">
        <f ca="1">+'Revenue Deficit (%GSDP)'!M30</f>
        <v>197530</v>
      </c>
      <c r="N30" s="73">
        <f ca="1">+'Revenue Deficit (%GSDP)'!N30</f>
        <v>214583</v>
      </c>
      <c r="O30" s="73">
        <f ca="1">+'Revenue Deficit (%GSDP)'!O30</f>
        <v>255459</v>
      </c>
      <c r="P30" s="55">
        <f ca="1">+'Revenue Deficit (%GSDP)'!P30</f>
        <v>288414</v>
      </c>
      <c r="Q30" s="125">
        <f t="shared" si="9"/>
        <v>5.450345777186441</v>
      </c>
      <c r="R30" s="125">
        <f t="shared" si="10"/>
        <v>6.0158595470432559</v>
      </c>
      <c r="S30" s="125">
        <f t="shared" si="11"/>
        <v>5.4571575859487185</v>
      </c>
      <c r="T30" s="125">
        <f t="shared" si="12"/>
        <v>5.9509188477699588</v>
      </c>
      <c r="U30" s="125">
        <f t="shared" si="13"/>
        <v>6.5976987925418147</v>
      </c>
      <c r="V30" s="125">
        <f t="shared" si="14"/>
        <v>6.786537174262798</v>
      </c>
      <c r="W30" s="125">
        <f t="shared" si="14"/>
        <v>7.7473770344019366</v>
      </c>
    </row>
    <row r="31" spans="1:23" s="20" customFormat="1" ht="18" customHeight="1">
      <c r="A31" s="3">
        <v>24</v>
      </c>
      <c r="B31" s="6" t="s">
        <v>36</v>
      </c>
      <c r="C31" s="146">
        <f ca="1">+'Salaries (% Plan Expenditure)'!J31</f>
        <v>3082.98</v>
      </c>
      <c r="D31" s="146">
        <f ca="1">+'Salaries (% Plan Expenditure)'!K31</f>
        <v>4025.13</v>
      </c>
      <c r="E31" s="146">
        <f ca="1">+'Salaries (% Plan Expenditure)'!L31</f>
        <v>3404.35</v>
      </c>
      <c r="F31" s="146">
        <f ca="1">+'Salaries (% Plan Expenditure)'!M31</f>
        <v>4486.72</v>
      </c>
      <c r="G31" s="146">
        <f ca="1">+'Salaries (% Plan Expenditure)'!N31</f>
        <v>3364.34</v>
      </c>
      <c r="H31" s="146">
        <f ca="1">+'Salaries (% Plan Expenditure)'!O31</f>
        <v>4799.7299999999996</v>
      </c>
      <c r="I31" s="146">
        <f ca="1">+'Salaries (% Plan Expenditure)'!P31</f>
        <v>11905.61</v>
      </c>
      <c r="J31" s="73">
        <f ca="1">+'Revenue Deficit (%GSDP)'!J31</f>
        <v>152245</v>
      </c>
      <c r="K31" s="73">
        <f ca="1">+'Revenue Deficit (%GSDP)'!K31</f>
        <v>174039</v>
      </c>
      <c r="L31" s="73">
        <f ca="1">+'Revenue Deficit (%GSDP)'!L31</f>
        <v>197500</v>
      </c>
      <c r="M31" s="73">
        <f ca="1">+'Revenue Deficit (%GSDP)'!M31</f>
        <v>226204</v>
      </c>
      <c r="N31" s="73">
        <f ca="1">+'Revenue Deficit (%GSDP)'!N31</f>
        <v>256430</v>
      </c>
      <c r="O31" s="73">
        <f ca="1">+'Revenue Deficit (%GSDP)'!O31</f>
        <v>286809</v>
      </c>
      <c r="P31" s="55">
        <f ca="1">+'Revenue Deficit (%GSDP)'!P31</f>
        <v>319117</v>
      </c>
      <c r="Q31" s="125">
        <f t="shared" si="9"/>
        <v>2.0250123156753919</v>
      </c>
      <c r="R31" s="125">
        <f t="shared" si="10"/>
        <v>2.3127747229069349</v>
      </c>
      <c r="S31" s="125">
        <f t="shared" si="11"/>
        <v>1.7237215189873416</v>
      </c>
      <c r="T31" s="125">
        <f t="shared" si="12"/>
        <v>1.9834839348552635</v>
      </c>
      <c r="U31" s="125">
        <f t="shared" si="13"/>
        <v>1.3119915766485981</v>
      </c>
      <c r="V31" s="125">
        <f t="shared" si="14"/>
        <v>1.6734935096178987</v>
      </c>
      <c r="W31" s="125">
        <f t="shared" si="14"/>
        <v>3.7307977951660369</v>
      </c>
    </row>
    <row r="32" spans="1:23" ht="18" customHeight="1">
      <c r="A32" s="3">
        <v>25</v>
      </c>
      <c r="B32" s="6" t="s">
        <v>37</v>
      </c>
      <c r="C32" s="146">
        <f ca="1">+'Salaries (% Plan Expenditure)'!J32</f>
        <v>10943.62</v>
      </c>
      <c r="D32" s="146">
        <f ca="1">+'Salaries (% Plan Expenditure)'!K32</f>
        <v>12190.11</v>
      </c>
      <c r="E32" s="146">
        <f ca="1">+'Salaries (% Plan Expenditure)'!L32</f>
        <v>12568.73</v>
      </c>
      <c r="F32" s="146">
        <f ca="1">+'Salaries (% Plan Expenditure)'!M32</f>
        <v>14172.46</v>
      </c>
      <c r="G32" s="146">
        <f ca="1">+'Salaries (% Plan Expenditure)'!N32</f>
        <v>20569.5</v>
      </c>
      <c r="H32" s="146">
        <f ca="1">+'Salaries (% Plan Expenditure)'!O32</f>
        <v>27159.27</v>
      </c>
      <c r="I32" s="146">
        <f ca="1">+'Salaries (% Plan Expenditure)'!P32</f>
        <v>31516.26</v>
      </c>
      <c r="J32" s="73">
        <f ca="1">+'Revenue Deficit (%GSDP)'!J32</f>
        <v>194822</v>
      </c>
      <c r="K32" s="73">
        <f ca="1">+'Revenue Deficit (%GSDP)'!K32</f>
        <v>230949</v>
      </c>
      <c r="L32" s="73">
        <f ca="1">+'Revenue Deficit (%GSDP)'!L32</f>
        <v>265825</v>
      </c>
      <c r="M32" s="73">
        <f ca="1">+'Revenue Deficit (%GSDP)'!M32</f>
        <v>338348</v>
      </c>
      <c r="N32" s="73">
        <f ca="1">+'Revenue Deficit (%GSDP)'!N32</f>
        <v>403422</v>
      </c>
      <c r="O32" s="73">
        <f ca="1">+'Revenue Deficit (%GSDP)'!O32</f>
        <v>459215</v>
      </c>
      <c r="P32" s="55">
        <f ca="1">+'Revenue Deficit (%GSDP)'!P32</f>
        <v>513688</v>
      </c>
      <c r="Q32" s="125">
        <f t="shared" si="9"/>
        <v>5.6172403527322379</v>
      </c>
      <c r="R32" s="125">
        <f t="shared" si="10"/>
        <v>5.2782692282711769</v>
      </c>
      <c r="S32" s="125">
        <f t="shared" si="11"/>
        <v>4.7281971221668391</v>
      </c>
      <c r="T32" s="125">
        <f t="shared" si="12"/>
        <v>4.1887228533935472</v>
      </c>
      <c r="U32" s="125">
        <f t="shared" si="13"/>
        <v>5.0987551496943642</v>
      </c>
      <c r="V32" s="125">
        <f t="shared" si="14"/>
        <v>5.9142819812070595</v>
      </c>
      <c r="W32" s="125">
        <f t="shared" si="14"/>
        <v>6.1352922396474119</v>
      </c>
    </row>
    <row r="33" spans="1:23" ht="18" customHeight="1">
      <c r="A33" s="3">
        <v>26</v>
      </c>
      <c r="B33" s="6" t="s">
        <v>38</v>
      </c>
      <c r="C33" s="146">
        <f ca="1">+'Salaries (% Plan Expenditure)'!J33</f>
        <v>15855.11</v>
      </c>
      <c r="D33" s="146">
        <f ca="1">+'Salaries (% Plan Expenditure)'!K33</f>
        <v>20519.2</v>
      </c>
      <c r="E33" s="146">
        <f ca="1">+'Salaries (% Plan Expenditure)'!L33</f>
        <v>21831.279999999999</v>
      </c>
      <c r="F33" s="146">
        <f ca="1">+'Salaries (% Plan Expenditure)'!M33</f>
        <v>26777.87</v>
      </c>
      <c r="G33" s="146">
        <f ca="1">+'Salaries (% Plan Expenditure)'!N33</f>
        <v>34129.870000000003</v>
      </c>
      <c r="H33" s="146">
        <f ca="1">+'Salaries (% Plan Expenditure)'!O33</f>
        <v>36721.269999999997</v>
      </c>
      <c r="I33" s="146">
        <f ca="1">+'Salaries (% Plan Expenditure)'!P33</f>
        <v>38805.14</v>
      </c>
      <c r="J33" s="73">
        <f ca="1">+'Revenue Deficit (%GSDP)'!J33</f>
        <v>350819</v>
      </c>
      <c r="K33" s="73">
        <f ca="1">+'Revenue Deficit (%GSDP)'!K33</f>
        <v>401336</v>
      </c>
      <c r="L33" s="73">
        <f ca="1">+'Revenue Deficit (%GSDP)'!L33</f>
        <v>479733</v>
      </c>
      <c r="M33" s="73">
        <f ca="1">+'Revenue Deficit (%GSDP)'!M33</f>
        <v>584896</v>
      </c>
      <c r="N33" s="73">
        <f ca="1">+'Revenue Deficit (%GSDP)'!N33</f>
        <v>665312</v>
      </c>
      <c r="O33" s="73">
        <f ca="1">+'Revenue Deficit (%GSDP)'!O33</f>
        <v>744474</v>
      </c>
      <c r="P33" s="55">
        <f ca="1">+'Revenue Deficit (%GSDP)'!P33</f>
        <v>850319</v>
      </c>
      <c r="Q33" s="125">
        <f t="shared" si="9"/>
        <v>4.5194559017613072</v>
      </c>
      <c r="R33" s="125">
        <f t="shared" si="10"/>
        <v>5.1127235034983158</v>
      </c>
      <c r="S33" s="125">
        <f t="shared" si="11"/>
        <v>4.550714668367613</v>
      </c>
      <c r="T33" s="125">
        <f t="shared" si="12"/>
        <v>4.5782275823394247</v>
      </c>
      <c r="U33" s="125">
        <f t="shared" si="13"/>
        <v>5.1299044658746578</v>
      </c>
      <c r="V33" s="125">
        <f t="shared" si="14"/>
        <v>4.9325120823561335</v>
      </c>
      <c r="W33" s="125">
        <f t="shared" si="14"/>
        <v>4.5635978967893225</v>
      </c>
    </row>
    <row r="34" spans="1:23" ht="18" customHeight="1">
      <c r="A34" s="3">
        <v>27</v>
      </c>
      <c r="B34" s="6" t="s">
        <v>39</v>
      </c>
      <c r="C34" s="146">
        <f ca="1">+'Salaries (% Plan Expenditure)'!J34</f>
        <v>25831.200000000001</v>
      </c>
      <c r="D34" s="146">
        <f ca="1">+'Salaries (% Plan Expenditure)'!K34</f>
        <v>35769.15</v>
      </c>
      <c r="E34" s="146">
        <f ca="1">+'Salaries (% Plan Expenditure)'!L34</f>
        <v>35304.89</v>
      </c>
      <c r="F34" s="146">
        <f ca="1">+'Salaries (% Plan Expenditure)'!M34</f>
        <v>41237.89</v>
      </c>
      <c r="G34" s="146">
        <f ca="1">+'Salaries (% Plan Expenditure)'!N34</f>
        <v>43765.49</v>
      </c>
      <c r="H34" s="146">
        <f ca="1">+'Salaries (% Plan Expenditure)'!O34</f>
        <v>56782.39</v>
      </c>
      <c r="I34" s="146">
        <f ca="1">+'Salaries (% Plan Expenditure)'!P34</f>
        <v>67016.53</v>
      </c>
      <c r="J34" s="73">
        <f ca="1">+'Revenue Deficit (%GSDP)'!J34</f>
        <v>383026</v>
      </c>
      <c r="K34" s="73">
        <f ca="1">+'Revenue Deficit (%GSDP)'!K34</f>
        <v>444685</v>
      </c>
      <c r="L34" s="73">
        <f ca="1">+'Revenue Deficit (%GSDP)'!L34</f>
        <v>523394</v>
      </c>
      <c r="M34" s="73">
        <f ca="1">+'Revenue Deficit (%GSDP)'!M34</f>
        <v>600164</v>
      </c>
      <c r="N34" s="73">
        <f ca="1">+'Revenue Deficit (%GSDP)'!N34</f>
        <v>679007</v>
      </c>
      <c r="O34" s="73">
        <f ca="1">+'Revenue Deficit (%GSDP)'!O34</f>
        <v>768930</v>
      </c>
      <c r="P34" s="55">
        <f ca="1">+'Revenue Deficit (%GSDP)'!P34</f>
        <v>886410</v>
      </c>
      <c r="Q34" s="125">
        <f t="shared" si="9"/>
        <v>6.7439808263668786</v>
      </c>
      <c r="R34" s="125">
        <f t="shared" si="10"/>
        <v>8.0437050946175379</v>
      </c>
      <c r="S34" s="125">
        <f t="shared" si="11"/>
        <v>6.7453753768671394</v>
      </c>
      <c r="T34" s="125">
        <f t="shared" si="12"/>
        <v>6.8711035650255585</v>
      </c>
      <c r="U34" s="125">
        <f t="shared" si="13"/>
        <v>6.4455138164996821</v>
      </c>
      <c r="V34" s="125">
        <f t="shared" si="14"/>
        <v>7.3845980778484392</v>
      </c>
      <c r="W34" s="125">
        <f t="shared" si="14"/>
        <v>7.5604438126826183</v>
      </c>
    </row>
    <row r="35" spans="1:23" ht="18" customHeight="1">
      <c r="A35" s="3">
        <v>28</v>
      </c>
      <c r="B35" s="6" t="s">
        <v>40</v>
      </c>
      <c r="C35" s="146">
        <f ca="1">+'Salaries (% Plan Expenditure)'!J35</f>
        <v>10435.19</v>
      </c>
      <c r="D35" s="146">
        <f ca="1">+'Salaries (% Plan Expenditure)'!K35</f>
        <v>12469.51</v>
      </c>
      <c r="E35" s="146">
        <f ca="1">+'Salaries (% Plan Expenditure)'!L35</f>
        <v>14161.31</v>
      </c>
      <c r="F35" s="146">
        <f ca="1">+'Salaries (% Plan Expenditure)'!M35</f>
        <v>14615.17</v>
      </c>
      <c r="G35" s="146">
        <f ca="1">+'Salaries (% Plan Expenditure)'!N35</f>
        <v>17213.52</v>
      </c>
      <c r="H35" s="146">
        <f ca="1">+'Salaries (% Plan Expenditure)'!O35</f>
        <v>22490.79</v>
      </c>
      <c r="I35" s="146">
        <f ca="1">+'Salaries (% Plan Expenditure)'!P35</f>
        <v>31929.93</v>
      </c>
      <c r="J35" s="73">
        <f ca="1">+'Revenue Deficit (%GSDP)'!J35</f>
        <v>299483</v>
      </c>
      <c r="K35" s="73">
        <f ca="1">+'Revenue Deficit (%GSDP)'!K35</f>
        <v>341942</v>
      </c>
      <c r="L35" s="73">
        <f ca="1">+'Revenue Deficit (%GSDP)'!L35</f>
        <v>398880</v>
      </c>
      <c r="M35" s="73">
        <f ca="1">+'Revenue Deficit (%GSDP)'!M35</f>
        <v>460959</v>
      </c>
      <c r="N35" s="73">
        <f ca="1">+'Revenue Deficit (%GSDP)'!N35</f>
        <v>538209</v>
      </c>
      <c r="O35" s="73">
        <f ca="1">+'Revenue Deficit (%GSDP)'!O35</f>
        <v>620160</v>
      </c>
      <c r="P35" s="55">
        <f ca="1">+'Revenue Deficit (%GSDP)'!P35</f>
        <v>707848</v>
      </c>
      <c r="Q35" s="125">
        <f t="shared" si="9"/>
        <v>3.4844014518353297</v>
      </c>
      <c r="R35" s="125">
        <f t="shared" si="10"/>
        <v>3.6466739973445788</v>
      </c>
      <c r="S35" s="125">
        <f t="shared" si="11"/>
        <v>3.5502682511030885</v>
      </c>
      <c r="T35" s="125">
        <f t="shared" si="12"/>
        <v>3.1706008560414265</v>
      </c>
      <c r="U35" s="125">
        <f t="shared" si="13"/>
        <v>3.1982965725210839</v>
      </c>
      <c r="V35" s="125">
        <f t="shared" si="14"/>
        <v>3.6266108746130032</v>
      </c>
      <c r="W35" s="125">
        <f t="shared" si="14"/>
        <v>4.510845548761881</v>
      </c>
    </row>
    <row r="36" spans="1:23" s="75" customFormat="1" ht="18" customHeight="1">
      <c r="A36" s="72"/>
      <c r="B36" s="4" t="s">
        <v>190</v>
      </c>
      <c r="C36" s="147">
        <f t="shared" ref="C36:O36" si="15">SUM(C19:C35)</f>
        <v>202845.80000000005</v>
      </c>
      <c r="D36" s="147">
        <f t="shared" si="15"/>
        <v>252523.22</v>
      </c>
      <c r="E36" s="147">
        <f t="shared" si="15"/>
        <v>275920.44</v>
      </c>
      <c r="F36" s="147">
        <f t="shared" si="15"/>
        <v>319518.43</v>
      </c>
      <c r="G36" s="147">
        <f t="shared" si="15"/>
        <v>377556.06000000006</v>
      </c>
      <c r="H36" s="147">
        <f t="shared" si="15"/>
        <v>461175.42000000004</v>
      </c>
      <c r="I36" s="147">
        <f ca="1">SUM(I19:I35)</f>
        <v>646576.81000000006</v>
      </c>
      <c r="J36" s="74">
        <f t="shared" si="15"/>
        <v>3944879</v>
      </c>
      <c r="K36" s="74">
        <f t="shared" si="15"/>
        <v>4535440</v>
      </c>
      <c r="L36" s="74">
        <f t="shared" si="15"/>
        <v>5204876</v>
      </c>
      <c r="M36" s="74">
        <f t="shared" si="15"/>
        <v>6231556</v>
      </c>
      <c r="N36" s="74">
        <f t="shared" si="15"/>
        <v>7154201</v>
      </c>
      <c r="O36" s="74">
        <f t="shared" si="15"/>
        <v>8190822</v>
      </c>
      <c r="P36" s="242">
        <f ca="1">SUM(P19:P35)</f>
        <v>9397731.1855269298</v>
      </c>
      <c r="Q36" s="126">
        <f t="shared" si="9"/>
        <v>5.1420030880541594</v>
      </c>
      <c r="R36" s="126">
        <f t="shared" si="10"/>
        <v>5.5677777679784102</v>
      </c>
      <c r="S36" s="126">
        <f>+E36/L36*100</f>
        <v>5.3011914212749733</v>
      </c>
      <c r="T36" s="126">
        <f>+F36/M36*100</f>
        <v>5.1274261195759134</v>
      </c>
      <c r="U36" s="126">
        <f>+G36/N36*100</f>
        <v>5.2774035842716751</v>
      </c>
      <c r="V36" s="126">
        <f>+H36/N36*100</f>
        <v>6.4462183827376398</v>
      </c>
      <c r="W36" s="126">
        <f>+I36/O36*100</f>
        <v>7.8939184614193803</v>
      </c>
    </row>
    <row r="37" spans="1:23" s="75" customFormat="1" ht="18" customHeight="1">
      <c r="A37" s="72"/>
      <c r="B37" s="4" t="s">
        <v>42</v>
      </c>
      <c r="C37" s="147"/>
      <c r="D37" s="147"/>
      <c r="E37" s="147"/>
      <c r="F37" s="147"/>
      <c r="G37" s="147"/>
      <c r="H37" s="147"/>
      <c r="I37" s="147"/>
      <c r="J37" s="74"/>
      <c r="K37" s="74"/>
      <c r="L37" s="74"/>
      <c r="M37" s="74"/>
      <c r="N37" s="74"/>
      <c r="O37" s="74"/>
      <c r="P37" s="242"/>
      <c r="Q37" s="125"/>
      <c r="R37" s="125"/>
      <c r="S37" s="125"/>
      <c r="T37" s="125"/>
      <c r="U37" s="125"/>
      <c r="V37" s="125"/>
      <c r="W37" s="125"/>
    </row>
    <row r="38" spans="1:23" ht="18" customHeight="1">
      <c r="A38" s="3">
        <v>29</v>
      </c>
      <c r="B38" s="6" t="s">
        <v>43</v>
      </c>
      <c r="C38" s="146">
        <f ca="1">+'Salaries (% Plan Expenditure)'!J38</f>
        <v>8785.0400000000009</v>
      </c>
      <c r="D38" s="146">
        <f ca="1">+'Salaries (% Plan Expenditure)'!K38</f>
        <v>9635.35</v>
      </c>
      <c r="E38" s="146">
        <f ca="1">+'Salaries (% Plan Expenditure)'!L38</f>
        <v>11128.24</v>
      </c>
      <c r="F38" s="146">
        <f ca="1">+'Salaries (% Plan Expenditure)'!M38</f>
        <v>10544.26</v>
      </c>
      <c r="G38" s="146">
        <f ca="1">+'Salaries (% Plan Expenditure)'!N38</f>
        <v>13700.3</v>
      </c>
      <c r="H38" s="146">
        <f ca="1">+'Salaries (% Plan Expenditure)'!O38</f>
        <v>13404.49</v>
      </c>
      <c r="I38" s="146">
        <f ca="1">+'Salaries (% Plan Expenditure)'!P38</f>
        <v>16450</v>
      </c>
      <c r="J38" s="73">
        <f ca="1">+'Revenue Deficit (%GSDP)'!J38</f>
        <v>157947</v>
      </c>
      <c r="K38" s="73">
        <f ca="1">+'Revenue Deficit (%GSDP)'!K38</f>
        <v>189533</v>
      </c>
      <c r="L38" s="73">
        <f ca="1">+'Revenue Deficit (%GSDP)'!L38</f>
        <v>217619</v>
      </c>
      <c r="M38" s="73">
        <f ca="1">+'Revenue Deficit (%GSDP)'!M38</f>
        <v>252753</v>
      </c>
      <c r="N38" s="73">
        <f ca="1">+'Revenue Deficit (%GSDP)'!N38</f>
        <v>296957</v>
      </c>
      <c r="O38" s="73">
        <f ca="1">+'Revenue Deficit (%GSDP)'!O38</f>
        <v>348221</v>
      </c>
      <c r="P38" s="55">
        <f ca="1">+'Revenue Deficit (%GSDP)'!P38</f>
        <v>404576</v>
      </c>
      <c r="Q38" s="125">
        <f t="shared" ref="Q38:W38" si="16">+C38/J38*100</f>
        <v>5.5620176388282152</v>
      </c>
      <c r="R38" s="125">
        <f t="shared" si="16"/>
        <v>5.0837321205278236</v>
      </c>
      <c r="S38" s="125">
        <f t="shared" si="16"/>
        <v>5.1136343793510672</v>
      </c>
      <c r="T38" s="125">
        <f t="shared" si="16"/>
        <v>4.1717645290065795</v>
      </c>
      <c r="U38" s="125">
        <f t="shared" si="16"/>
        <v>4.6135635799122428</v>
      </c>
      <c r="V38" s="125">
        <f t="shared" si="16"/>
        <v>3.8494203393821738</v>
      </c>
      <c r="W38" s="125">
        <f t="shared" si="16"/>
        <v>4.0659851301115237</v>
      </c>
    </row>
    <row r="39" spans="1:23" ht="18" customHeight="1">
      <c r="A39" s="3">
        <v>30</v>
      </c>
      <c r="B39" s="6" t="s">
        <v>44</v>
      </c>
      <c r="C39" s="146">
        <f ca="1">+'Salaries (% Plan Expenditure)'!J39</f>
        <v>1112</v>
      </c>
      <c r="D39" s="146">
        <f ca="1">+'Salaries (% Plan Expenditure)'!K39</f>
        <v>1077</v>
      </c>
      <c r="E39" s="146">
        <f ca="1">+'Salaries (% Plan Expenditure)'!L39</f>
        <v>1461</v>
      </c>
      <c r="F39" s="146">
        <f ca="1">+'Salaries (% Plan Expenditure)'!M39</f>
        <v>1590</v>
      </c>
      <c r="G39" s="146">
        <f ca="1">+'Salaries (% Plan Expenditure)'!N39</f>
        <v>1648</v>
      </c>
      <c r="H39" s="146">
        <f ca="1">+'Salaries (% Plan Expenditure)'!O39</f>
        <v>1272.3900000000001</v>
      </c>
      <c r="I39" s="146">
        <f ca="1">+'Salaries (% Plan Expenditure)'!P39</f>
        <v>1807.71</v>
      </c>
      <c r="J39" s="73">
        <f ca="1">+'Revenue Deficit (%GSDP)'!J39</f>
        <v>9251</v>
      </c>
      <c r="K39" s="73">
        <f ca="1">+'Revenue Deficit (%GSDP)'!K39</f>
        <v>10050</v>
      </c>
      <c r="L39" s="73">
        <f ca="1">+'Revenue Deficit (%GSDP)'!L39</f>
        <v>12304</v>
      </c>
      <c r="M39" s="73">
        <f ca="1">+'Revenue Deficit (%GSDP)'!M39</f>
        <v>13092</v>
      </c>
      <c r="N39" s="73">
        <f ca="1">+'Revenue Deficit (%GSDP)'!N39</f>
        <v>14630</v>
      </c>
      <c r="O39" s="73">
        <f ca="1">+'Revenue Deficit (%GSDP)'!O39</f>
        <v>17192</v>
      </c>
      <c r="P39" s="55">
        <f ca="1">+'Revenue Deficit (%GSDP)'!P39</f>
        <v>21500</v>
      </c>
      <c r="Q39" s="125">
        <f t="shared" ref="Q39:S40" si="17">+C39/J39*100</f>
        <v>12.020322127337584</v>
      </c>
      <c r="R39" s="125">
        <f t="shared" si="17"/>
        <v>10.71641791044776</v>
      </c>
      <c r="S39" s="125">
        <f t="shared" si="17"/>
        <v>11.874187256176853</v>
      </c>
      <c r="T39" s="125">
        <f>+F39/M39*100</f>
        <v>12.144821264894592</v>
      </c>
      <c r="U39" s="125">
        <f>+G39/N39*100</f>
        <v>11.264524948735476</v>
      </c>
      <c r="V39" s="125">
        <f>+H39/O39*100</f>
        <v>7.401058631921825</v>
      </c>
      <c r="W39" s="125">
        <f>+I39/P39*100</f>
        <v>8.4079534883720921</v>
      </c>
    </row>
    <row r="40" spans="1:23" ht="18" customHeight="1">
      <c r="A40" s="3"/>
      <c r="B40" s="4" t="s">
        <v>75</v>
      </c>
      <c r="C40" s="147">
        <f t="shared" ref="C40:N40" si="18">SUM(C38:C39)</f>
        <v>9897.0400000000009</v>
      </c>
      <c r="D40" s="147">
        <f t="shared" si="18"/>
        <v>10712.35</v>
      </c>
      <c r="E40" s="147">
        <f t="shared" si="18"/>
        <v>12589.24</v>
      </c>
      <c r="F40" s="147">
        <f>SUM(F38:F39)</f>
        <v>12134.26</v>
      </c>
      <c r="G40" s="147">
        <f>SUM(G38:G39)</f>
        <v>15348.3</v>
      </c>
      <c r="H40" s="147">
        <f t="shared" si="18"/>
        <v>14676.88</v>
      </c>
      <c r="I40" s="147">
        <f>SUM(I38:I39)</f>
        <v>18257.71</v>
      </c>
      <c r="J40" s="74">
        <f t="shared" si="18"/>
        <v>167198</v>
      </c>
      <c r="K40" s="74">
        <f t="shared" si="18"/>
        <v>199583</v>
      </c>
      <c r="L40" s="74">
        <f t="shared" si="18"/>
        <v>229923</v>
      </c>
      <c r="M40" s="74">
        <f t="shared" si="18"/>
        <v>265845</v>
      </c>
      <c r="N40" s="74">
        <f t="shared" si="18"/>
        <v>311587</v>
      </c>
      <c r="O40" s="74">
        <f>SUM(O38:O39)</f>
        <v>365413</v>
      </c>
      <c r="P40" s="242">
        <f>SUM(P38:P39)</f>
        <v>426076</v>
      </c>
      <c r="Q40" s="126">
        <f t="shared" si="17"/>
        <v>5.9193531023098371</v>
      </c>
      <c r="R40" s="126">
        <f t="shared" si="17"/>
        <v>5.3673659580224768</v>
      </c>
      <c r="S40" s="126">
        <f t="shared" si="17"/>
        <v>5.4754156826415805</v>
      </c>
      <c r="T40" s="126">
        <f>+F40/M40*100</f>
        <v>4.5644115932216147</v>
      </c>
      <c r="U40" s="126">
        <f>+G40/N40*100</f>
        <v>4.9258473556342208</v>
      </c>
      <c r="V40" s="126">
        <f>+H40/N40*100</f>
        <v>4.7103633977027277</v>
      </c>
      <c r="W40" s="126">
        <f>+I40/O40*100</f>
        <v>4.9964588014110056</v>
      </c>
    </row>
    <row r="41" spans="1:23" ht="9" customHeight="1">
      <c r="A41" s="3"/>
      <c r="B41" s="4"/>
      <c r="C41" s="147"/>
      <c r="D41" s="147"/>
      <c r="E41" s="147"/>
      <c r="F41" s="147"/>
      <c r="G41" s="147"/>
      <c r="H41" s="147"/>
      <c r="I41" s="147"/>
      <c r="J41" s="74"/>
      <c r="K41" s="74"/>
      <c r="L41" s="74"/>
      <c r="M41" s="74"/>
      <c r="N41" s="74"/>
      <c r="O41" s="74"/>
      <c r="P41" s="242"/>
      <c r="Q41" s="125"/>
      <c r="R41" s="125"/>
      <c r="S41" s="125"/>
      <c r="T41" s="125"/>
      <c r="U41" s="125"/>
      <c r="V41" s="125"/>
      <c r="W41" s="125"/>
    </row>
    <row r="42" spans="1:23" s="75" customFormat="1">
      <c r="A42" s="72"/>
      <c r="B42" s="4" t="s">
        <v>46</v>
      </c>
      <c r="C42" s="147">
        <f t="shared" ref="C42:M42" si="19">+C17+C36+C40</f>
        <v>236194.28000000006</v>
      </c>
      <c r="D42" s="147">
        <f t="shared" si="19"/>
        <v>292212.82999999996</v>
      </c>
      <c r="E42" s="147">
        <f t="shared" si="19"/>
        <v>320048.19</v>
      </c>
      <c r="F42" s="147">
        <f>+F17+F36+F40</f>
        <v>367580.94</v>
      </c>
      <c r="G42" s="147">
        <f>+G17+G36+G40</f>
        <v>432266.47000000003</v>
      </c>
      <c r="H42" s="147">
        <f t="shared" si="19"/>
        <v>519089.53</v>
      </c>
      <c r="I42" s="147">
        <f>+I17+I36+I40</f>
        <v>724368.4</v>
      </c>
      <c r="J42" s="74">
        <f t="shared" si="19"/>
        <v>4347593</v>
      </c>
      <c r="K42" s="74">
        <f t="shared" si="19"/>
        <v>5011438</v>
      </c>
      <c r="L42" s="74">
        <f t="shared" si="19"/>
        <v>5763838</v>
      </c>
      <c r="M42" s="74">
        <f t="shared" si="19"/>
        <v>6885743</v>
      </c>
      <c r="N42" s="74">
        <f>+N17+N36+N40</f>
        <v>7907554</v>
      </c>
      <c r="O42" s="74">
        <f>+O17+O36+O40</f>
        <v>9060004</v>
      </c>
      <c r="P42" s="242">
        <f>+P17+P36+P40</f>
        <v>10403785.896576375</v>
      </c>
      <c r="Q42" s="126">
        <f>+C42/J42*100</f>
        <v>5.4327596902469955</v>
      </c>
      <c r="R42" s="126">
        <f>+D42/K42*100</f>
        <v>5.8309177924579725</v>
      </c>
      <c r="S42" s="126">
        <f>+E42/L42*100</f>
        <v>5.5526923206377425</v>
      </c>
      <c r="T42" s="126">
        <f>+F42/M42*100</f>
        <v>5.3382901453045806</v>
      </c>
      <c r="U42" s="126">
        <f>+G42/N42*100</f>
        <v>5.4665003868452873</v>
      </c>
      <c r="V42" s="126">
        <f>+H42/N42*100</f>
        <v>6.5644765751836793</v>
      </c>
      <c r="W42" s="126">
        <f>+I42/O42*100</f>
        <v>7.9952326731864591</v>
      </c>
    </row>
    <row r="43" spans="1:23" ht="15">
      <c r="B43" s="628" t="s">
        <v>187</v>
      </c>
      <c r="C43" s="628"/>
      <c r="D43" s="628"/>
      <c r="E43" s="628"/>
      <c r="F43" s="628"/>
      <c r="G43" s="628"/>
      <c r="H43" s="628"/>
      <c r="I43" s="628"/>
      <c r="J43" s="628"/>
      <c r="K43" s="121"/>
      <c r="L43" s="121"/>
      <c r="M43" s="121"/>
      <c r="N43" s="121"/>
      <c r="O43" s="121"/>
      <c r="P43" s="248"/>
    </row>
  </sheetData>
  <mergeCells count="8">
    <mergeCell ref="B43:J43"/>
    <mergeCell ref="J4:N4"/>
    <mergeCell ref="A1:V1"/>
    <mergeCell ref="B2:B3"/>
    <mergeCell ref="A2:A3"/>
    <mergeCell ref="C2:I2"/>
    <mergeCell ref="J2:P2"/>
    <mergeCell ref="Q2:W2"/>
  </mergeCells>
  <phoneticPr fontId="42" type="noConversion"/>
  <printOptions horizontalCentered="1"/>
  <pageMargins left="0.35433070866141736" right="0.15748031496062992" top="0.78740157480314965" bottom="0.39370078740157483" header="0" footer="0"/>
  <pageSetup paperSize="9" scale="52" orientation="landscape" r:id="rId1"/>
  <headerFooter alignWithMargins="0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8080"/>
    <pageSetUpPr fitToPage="1"/>
  </sheetPr>
  <dimension ref="A1:W4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5" sqref="B5"/>
    </sheetView>
  </sheetViews>
  <sheetFormatPr defaultRowHeight="12.75"/>
  <cols>
    <col min="1" max="1" width="4.85546875" style="25" customWidth="1"/>
    <col min="2" max="2" width="34.7109375" customWidth="1"/>
    <col min="3" max="4" width="11" customWidth="1"/>
    <col min="5" max="9" width="11" style="14" customWidth="1"/>
    <col min="10" max="12" width="11" customWidth="1"/>
    <col min="13" max="14" width="11" style="14" customWidth="1"/>
    <col min="15" max="16" width="11" style="177" customWidth="1"/>
    <col min="17" max="17" width="12" customWidth="1"/>
    <col min="18" max="18" width="12.28515625" customWidth="1"/>
    <col min="19" max="21" width="11.7109375" style="14" customWidth="1"/>
    <col min="22" max="22" width="11.28515625" style="14" customWidth="1"/>
  </cols>
  <sheetData>
    <row r="1" spans="1:23" ht="28.5" customHeight="1">
      <c r="A1" s="664" t="s">
        <v>105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  <c r="P1" s="664"/>
      <c r="Q1" s="665"/>
      <c r="R1" s="665"/>
      <c r="S1" s="665"/>
      <c r="T1" s="665"/>
      <c r="U1" s="665"/>
      <c r="V1" s="665"/>
    </row>
    <row r="2" spans="1:23" ht="35.25" customHeight="1">
      <c r="A2" s="648" t="s">
        <v>0</v>
      </c>
      <c r="B2" s="666" t="s">
        <v>118</v>
      </c>
      <c r="C2" s="638" t="s">
        <v>130</v>
      </c>
      <c r="D2" s="639"/>
      <c r="E2" s="639"/>
      <c r="F2" s="639"/>
      <c r="G2" s="639"/>
      <c r="H2" s="639"/>
      <c r="I2" s="640"/>
      <c r="J2" s="611" t="s">
        <v>131</v>
      </c>
      <c r="K2" s="612"/>
      <c r="L2" s="612"/>
      <c r="M2" s="612"/>
      <c r="N2" s="612"/>
      <c r="O2" s="612"/>
      <c r="P2" s="613"/>
      <c r="Q2" s="614" t="s">
        <v>162</v>
      </c>
      <c r="R2" s="614"/>
      <c r="S2" s="614"/>
      <c r="T2" s="614"/>
      <c r="U2" s="614"/>
      <c r="V2" s="614"/>
      <c r="W2" s="614"/>
    </row>
    <row r="3" spans="1:23" ht="27" customHeight="1">
      <c r="A3" s="649"/>
      <c r="B3" s="667"/>
      <c r="C3" s="123" t="s">
        <v>3</v>
      </c>
      <c r="D3" s="123" t="s">
        <v>4</v>
      </c>
      <c r="E3" s="123" t="s">
        <v>5</v>
      </c>
      <c r="F3" s="123" t="s">
        <v>6</v>
      </c>
      <c r="G3" s="123" t="s">
        <v>7</v>
      </c>
      <c r="H3" s="123" t="s">
        <v>122</v>
      </c>
      <c r="I3" s="123" t="s">
        <v>139</v>
      </c>
      <c r="J3" s="2" t="s">
        <v>3</v>
      </c>
      <c r="K3" s="2" t="s">
        <v>4</v>
      </c>
      <c r="L3" s="2" t="s">
        <v>5</v>
      </c>
      <c r="M3" s="1" t="s">
        <v>6</v>
      </c>
      <c r="N3" s="1" t="s">
        <v>7</v>
      </c>
      <c r="O3" s="1" t="s">
        <v>122</v>
      </c>
      <c r="P3" s="1" t="s">
        <v>139</v>
      </c>
      <c r="Q3" s="123" t="s">
        <v>3</v>
      </c>
      <c r="R3" s="123" t="s">
        <v>4</v>
      </c>
      <c r="S3" s="123" t="s">
        <v>5</v>
      </c>
      <c r="T3" s="123" t="s">
        <v>6</v>
      </c>
      <c r="U3" s="123" t="s">
        <v>7</v>
      </c>
      <c r="V3" s="123" t="s">
        <v>122</v>
      </c>
      <c r="W3" s="123" t="s">
        <v>139</v>
      </c>
    </row>
    <row r="4" spans="1:23" ht="15.75" customHeight="1">
      <c r="A4" s="103"/>
      <c r="B4" s="122">
        <v>41834</v>
      </c>
      <c r="C4" s="123" t="s">
        <v>8</v>
      </c>
      <c r="D4" s="123" t="s">
        <v>8</v>
      </c>
      <c r="E4" s="123" t="s">
        <v>8</v>
      </c>
      <c r="F4" s="123" t="s">
        <v>8</v>
      </c>
      <c r="G4" s="123" t="s">
        <v>8</v>
      </c>
      <c r="H4" s="123" t="s">
        <v>50</v>
      </c>
      <c r="I4" s="123" t="s">
        <v>10</v>
      </c>
      <c r="J4" s="668" t="s">
        <v>188</v>
      </c>
      <c r="K4" s="669"/>
      <c r="L4" s="669"/>
      <c r="M4" s="669"/>
      <c r="N4" s="669"/>
      <c r="O4" s="669"/>
      <c r="P4" s="670"/>
      <c r="Q4" s="123" t="s">
        <v>8</v>
      </c>
      <c r="R4" s="123" t="s">
        <v>8</v>
      </c>
      <c r="S4" s="123" t="s">
        <v>8</v>
      </c>
      <c r="T4" s="123" t="s">
        <v>8</v>
      </c>
      <c r="U4" s="123" t="s">
        <v>8</v>
      </c>
      <c r="V4" s="123" t="s">
        <v>50</v>
      </c>
      <c r="W4" s="123" t="s">
        <v>10</v>
      </c>
    </row>
    <row r="5" spans="1:23" ht="17.25" customHeight="1">
      <c r="A5" s="3"/>
      <c r="B5" s="4" t="s">
        <v>11</v>
      </c>
      <c r="C5" s="124"/>
      <c r="D5" s="124"/>
      <c r="E5" s="124"/>
      <c r="F5" s="124"/>
      <c r="G5" s="124"/>
      <c r="H5" s="124"/>
      <c r="I5" s="124"/>
      <c r="J5" s="4"/>
      <c r="K5" s="4"/>
      <c r="L5" s="4"/>
      <c r="M5" s="5"/>
      <c r="N5" s="5"/>
      <c r="O5" s="173"/>
      <c r="P5" s="173"/>
      <c r="Q5" s="140"/>
      <c r="R5" s="140"/>
      <c r="S5" s="143"/>
      <c r="T5" s="143"/>
      <c r="U5" s="143"/>
      <c r="V5" s="143"/>
      <c r="W5" s="143"/>
    </row>
    <row r="6" spans="1:23" ht="17.25" customHeight="1">
      <c r="A6" s="3">
        <v>1</v>
      </c>
      <c r="B6" s="6" t="s">
        <v>12</v>
      </c>
      <c r="C6" s="146">
        <f ca="1">+'Plan Exp(%GSDP)'!C6</f>
        <v>1616.79</v>
      </c>
      <c r="D6" s="146">
        <f ca="1">+'Plan Exp(%GSDP)'!D6</f>
        <v>2448.34</v>
      </c>
      <c r="E6" s="146">
        <f ca="1">+'Plan Exp(%GSDP)'!E6</f>
        <v>2342.83</v>
      </c>
      <c r="F6" s="146">
        <f ca="1">+'Plan Exp(%GSDP)'!F6</f>
        <v>2843.83</v>
      </c>
      <c r="G6" s="146">
        <f ca="1">+'Plan Exp(%GSDP)'!G6</f>
        <v>3595.27</v>
      </c>
      <c r="H6" s="146">
        <f ca="1">+'Plan Exp(%GSDP)'!H6</f>
        <v>2795.51</v>
      </c>
      <c r="I6" s="146">
        <f ca="1">+'Plan Exp(%GSDP)'!I6</f>
        <v>4875.8599999999997</v>
      </c>
      <c r="J6" s="81">
        <v>0.12786574501684686</v>
      </c>
      <c r="K6" s="81">
        <v>0.1308716724211223</v>
      </c>
      <c r="L6" s="81">
        <v>0.13393853684639914</v>
      </c>
      <c r="M6" s="88">
        <v>0.13706887690687536</v>
      </c>
      <c r="N6" s="88">
        <v>0.14026699866888859</v>
      </c>
      <c r="O6" s="174">
        <v>0.14355350706310671</v>
      </c>
      <c r="P6" s="174">
        <v>0.14691483346585812</v>
      </c>
      <c r="Q6" s="146">
        <f t="shared" ref="Q6:W6" si="0">+C6/J6</f>
        <v>12644.434205478417</v>
      </c>
      <c r="R6" s="146">
        <f t="shared" si="0"/>
        <v>18707.944620144131</v>
      </c>
      <c r="S6" s="146">
        <f t="shared" si="0"/>
        <v>17491.829126719218</v>
      </c>
      <c r="T6" s="146">
        <f t="shared" si="0"/>
        <v>20747.452406224202</v>
      </c>
      <c r="U6" s="146">
        <f t="shared" si="0"/>
        <v>25631.617088256953</v>
      </c>
      <c r="V6" s="146">
        <f t="shared" si="0"/>
        <v>19473.644755826706</v>
      </c>
      <c r="W6" s="146">
        <f t="shared" si="0"/>
        <v>33188.34378376852</v>
      </c>
    </row>
    <row r="7" spans="1:23" ht="17.25" customHeight="1">
      <c r="A7" s="3">
        <v>2</v>
      </c>
      <c r="B7" s="6" t="s">
        <v>13</v>
      </c>
      <c r="C7" s="146">
        <f ca="1">+'Plan Exp(%GSDP)'!C7</f>
        <v>3538.2</v>
      </c>
      <c r="D7" s="146">
        <f ca="1">+'Plan Exp(%GSDP)'!D7</f>
        <v>5471.89</v>
      </c>
      <c r="E7" s="146">
        <f ca="1">+'Plan Exp(%GSDP)'!E7</f>
        <v>5382.92</v>
      </c>
      <c r="F7" s="146">
        <f ca="1">+'Plan Exp(%GSDP)'!F7</f>
        <v>6480.09</v>
      </c>
      <c r="G7" s="146">
        <f ca="1">+'Plan Exp(%GSDP)'!G7</f>
        <v>7218.1</v>
      </c>
      <c r="H7" s="146">
        <f ca="1">+'Plan Exp(%GSDP)'!H7</f>
        <v>9121.85</v>
      </c>
      <c r="I7" s="146">
        <f ca="1">+'Plan Exp(%GSDP)'!I7</f>
        <v>11198.1</v>
      </c>
      <c r="J7" s="81">
        <v>2.9282292155941758</v>
      </c>
      <c r="K7" s="81">
        <v>2.9660151873521725</v>
      </c>
      <c r="L7" s="81">
        <v>3.0036641651692917</v>
      </c>
      <c r="M7" s="88">
        <v>3.0412850968658387</v>
      </c>
      <c r="N7" s="88">
        <v>3.0791157490045311</v>
      </c>
      <c r="O7" s="174">
        <v>3.1167140210006177</v>
      </c>
      <c r="P7" s="174">
        <v>3.1539672951633086</v>
      </c>
      <c r="Q7" s="146">
        <f t="shared" ref="Q7:Q17" si="1">+C7/J7</f>
        <v>1208.3070482178948</v>
      </c>
      <c r="R7" s="146">
        <f t="shared" ref="R7:R17" si="2">+D7/K7</f>
        <v>1844.8624347351633</v>
      </c>
      <c r="S7" s="146">
        <f t="shared" ref="S7:S16" si="3">+E7/L7</f>
        <v>1792.11779479901</v>
      </c>
      <c r="T7" s="146">
        <f t="shared" ref="T7:T16" si="4">+F7/M7</f>
        <v>2130.7078401423078</v>
      </c>
      <c r="U7" s="146">
        <f t="shared" ref="U7:U16" si="5">+G7/N7</f>
        <v>2344.2119713536558</v>
      </c>
      <c r="V7" s="146">
        <f t="shared" ref="V7:W16" si="6">+H7/O7</f>
        <v>2926.7523226501994</v>
      </c>
      <c r="W7" s="146">
        <f t="shared" si="6"/>
        <v>3550.4806968583916</v>
      </c>
    </row>
    <row r="8" spans="1:23" ht="17.25" customHeight="1">
      <c r="A8" s="3">
        <v>3</v>
      </c>
      <c r="B8" s="6" t="s">
        <v>14</v>
      </c>
      <c r="C8" s="146">
        <f ca="1">+'Plan Exp(%GSDP)'!C8</f>
        <v>2524.65</v>
      </c>
      <c r="D8" s="146">
        <f ca="1">+'Plan Exp(%GSDP)'!D8</f>
        <v>2883.14</v>
      </c>
      <c r="E8" s="146">
        <f ca="1">+'Plan Exp(%GSDP)'!E8</f>
        <v>3199.46</v>
      </c>
      <c r="F8" s="146">
        <f ca="1">+'Plan Exp(%GSDP)'!F8</f>
        <v>3647.93</v>
      </c>
      <c r="G8" s="146">
        <f ca="1">+'Plan Exp(%GSDP)'!G8</f>
        <v>3942.83</v>
      </c>
      <c r="H8" s="146">
        <f ca="1">+'Plan Exp(%GSDP)'!H8</f>
        <v>4386.41</v>
      </c>
      <c r="I8" s="146">
        <f ca="1">+'Plan Exp(%GSDP)'!I8</f>
        <v>4294.7299999999996</v>
      </c>
      <c r="J8" s="81">
        <v>0.65671084078140518</v>
      </c>
      <c r="K8" s="81">
        <v>0.66359213153241203</v>
      </c>
      <c r="L8" s="81">
        <v>0.67019450573011763</v>
      </c>
      <c r="M8" s="88">
        <v>0.67669396281437522</v>
      </c>
      <c r="N8" s="88">
        <v>0.69010098766654204</v>
      </c>
      <c r="O8" s="174">
        <v>0.69713778804785764</v>
      </c>
      <c r="P8" s="174">
        <v>0.70417118093174436</v>
      </c>
      <c r="Q8" s="146">
        <f t="shared" si="1"/>
        <v>3844.3860573338138</v>
      </c>
      <c r="R8" s="146">
        <f t="shared" si="2"/>
        <v>4344.7471164886438</v>
      </c>
      <c r="S8" s="146">
        <f t="shared" si="3"/>
        <v>4773.9275279711092</v>
      </c>
      <c r="T8" s="146">
        <f t="shared" si="4"/>
        <v>5390.8120959558028</v>
      </c>
      <c r="U8" s="146">
        <f t="shared" si="5"/>
        <v>5713.4101681726361</v>
      </c>
      <c r="V8" s="146">
        <f t="shared" si="6"/>
        <v>6292.0273082354825</v>
      </c>
      <c r="W8" s="146">
        <f t="shared" si="6"/>
        <v>6098.9857527502108</v>
      </c>
    </row>
    <row r="9" spans="1:23" ht="17.25" customHeight="1">
      <c r="A9" s="3">
        <v>4</v>
      </c>
      <c r="B9" s="6" t="s">
        <v>52</v>
      </c>
      <c r="C9" s="146">
        <f ca="1">+'Plan Exp(%GSDP)'!C9</f>
        <v>4164.4399999999996</v>
      </c>
      <c r="D9" s="146">
        <f ca="1">+'Plan Exp(%GSDP)'!D9</f>
        <v>5006.1400000000003</v>
      </c>
      <c r="E9" s="146">
        <f ca="1">+'Plan Exp(%GSDP)'!E9</f>
        <v>6688.41</v>
      </c>
      <c r="F9" s="146">
        <f ca="1">+'Plan Exp(%GSDP)'!F9</f>
        <v>6639</v>
      </c>
      <c r="G9" s="146">
        <f ca="1">+'Plan Exp(%GSDP)'!G9</f>
        <v>6721.86</v>
      </c>
      <c r="H9" s="146">
        <f ca="1">+'Plan Exp(%GSDP)'!H9</f>
        <v>6527.55</v>
      </c>
      <c r="I9" s="146">
        <f ca="1">+'Plan Exp(%GSDP)'!I9</f>
        <v>8732.52</v>
      </c>
      <c r="J9" s="81">
        <v>1.1192072282133489</v>
      </c>
      <c r="K9" s="81">
        <v>1.1349794783529723</v>
      </c>
      <c r="L9" s="81">
        <v>1.1506092124814264</v>
      </c>
      <c r="M9" s="88">
        <v>1.1659058594626954</v>
      </c>
      <c r="N9" s="88">
        <v>1.180605336519315</v>
      </c>
      <c r="O9" s="174">
        <v>1.1951915794379819</v>
      </c>
      <c r="P9" s="174">
        <v>1.20959457335222</v>
      </c>
      <c r="Q9" s="146">
        <f t="shared" si="1"/>
        <v>3720.8837604166661</v>
      </c>
      <c r="R9" s="146">
        <f t="shared" si="2"/>
        <v>4410.7757853601634</v>
      </c>
      <c r="S9" s="146">
        <f t="shared" si="3"/>
        <v>5812.9292964512624</v>
      </c>
      <c r="T9" s="146">
        <f t="shared" si="4"/>
        <v>5694.2847881899879</v>
      </c>
      <c r="U9" s="146">
        <f t="shared" si="5"/>
        <v>5693.570740428403</v>
      </c>
      <c r="V9" s="146">
        <f t="shared" si="6"/>
        <v>5461.5093615949563</v>
      </c>
      <c r="W9" s="146">
        <f t="shared" si="6"/>
        <v>7219.3776265042743</v>
      </c>
    </row>
    <row r="10" spans="1:23" ht="17.25" customHeight="1">
      <c r="A10" s="3">
        <v>5</v>
      </c>
      <c r="B10" s="6" t="s">
        <v>16</v>
      </c>
      <c r="C10" s="146">
        <f ca="1">+'Plan Exp(%GSDP)'!C10</f>
        <v>1593.63</v>
      </c>
      <c r="D10" s="146">
        <f ca="1">+'Plan Exp(%GSDP)'!D10</f>
        <v>1954.59</v>
      </c>
      <c r="E10" s="146">
        <f ca="1">+'Plan Exp(%GSDP)'!E10</f>
        <v>2305.17</v>
      </c>
      <c r="F10" s="146">
        <f ca="1">+'Plan Exp(%GSDP)'!F10</f>
        <v>3019.18</v>
      </c>
      <c r="G10" s="146">
        <f ca="1">+'Plan Exp(%GSDP)'!G10</f>
        <v>2779.72</v>
      </c>
      <c r="H10" s="146">
        <f ca="1">+'Plan Exp(%GSDP)'!H10</f>
        <v>2560.89</v>
      </c>
      <c r="I10" s="146">
        <f ca="1">+'Plan Exp(%GSDP)'!I10</f>
        <v>4489.95</v>
      </c>
      <c r="J10" s="81">
        <v>0.26194084787597971</v>
      </c>
      <c r="K10" s="81">
        <v>0.2669842166875227</v>
      </c>
      <c r="L10" s="81">
        <v>0.2720797195054438</v>
      </c>
      <c r="M10" s="88">
        <v>0.27721129584183057</v>
      </c>
      <c r="N10" s="88">
        <v>0.2823442909224595</v>
      </c>
      <c r="O10" s="174">
        <v>0.28757471075286506</v>
      </c>
      <c r="P10" s="174">
        <f>+(O10/N10)*O10</f>
        <v>0.29290202395948489</v>
      </c>
      <c r="Q10" s="146">
        <f t="shared" si="1"/>
        <v>6083.9308298892392</v>
      </c>
      <c r="R10" s="146">
        <f t="shared" si="2"/>
        <v>7320.9945675839126</v>
      </c>
      <c r="S10" s="146">
        <f t="shared" si="3"/>
        <v>8472.4065586001088</v>
      </c>
      <c r="T10" s="146">
        <f t="shared" si="4"/>
        <v>10891.258925187032</v>
      </c>
      <c r="U10" s="146">
        <f t="shared" si="5"/>
        <v>9845.1432855902767</v>
      </c>
      <c r="V10" s="146">
        <f t="shared" si="6"/>
        <v>8905.1293602822007</v>
      </c>
      <c r="W10" s="146">
        <f t="shared" si="6"/>
        <v>15329.187348398329</v>
      </c>
    </row>
    <row r="11" spans="1:23" ht="17.25" customHeight="1">
      <c r="A11" s="3">
        <v>6</v>
      </c>
      <c r="B11" s="6" t="s">
        <v>17</v>
      </c>
      <c r="C11" s="146">
        <f ca="1">+'Plan Exp(%GSDP)'!C11</f>
        <v>1128.24</v>
      </c>
      <c r="D11" s="146">
        <f ca="1">+'Plan Exp(%GSDP)'!D11</f>
        <v>1579.48</v>
      </c>
      <c r="E11" s="146">
        <f ca="1">+'Plan Exp(%GSDP)'!E11</f>
        <v>1537.87</v>
      </c>
      <c r="F11" s="146">
        <f ca="1">+'Plan Exp(%GSDP)'!F11</f>
        <v>2068.25</v>
      </c>
      <c r="G11" s="146">
        <f ca="1">+'Plan Exp(%GSDP)'!G11</f>
        <v>2846.2</v>
      </c>
      <c r="H11" s="146">
        <f ca="1">+'Plan Exp(%GSDP)'!H11</f>
        <v>2609.46</v>
      </c>
      <c r="I11" s="146">
        <f ca="1">+'Plan Exp(%GSDP)'!I11</f>
        <v>5637.15</v>
      </c>
      <c r="J11" s="81">
        <v>0.25180402582605393</v>
      </c>
      <c r="K11" s="81">
        <v>0.25481112781213811</v>
      </c>
      <c r="L11" s="81">
        <v>0.25779982383755967</v>
      </c>
      <c r="M11" s="88">
        <v>0.260896043523274</v>
      </c>
      <c r="N11" s="88">
        <v>0.26390718782023131</v>
      </c>
      <c r="O11" s="174">
        <v>0.26689966897988676</v>
      </c>
      <c r="P11" s="174">
        <v>0.26999925942383174</v>
      </c>
      <c r="Q11" s="146">
        <f t="shared" si="1"/>
        <v>4480.6273303167418</v>
      </c>
      <c r="R11" s="146">
        <f t="shared" si="2"/>
        <v>6198.6303877768105</v>
      </c>
      <c r="S11" s="146">
        <f t="shared" si="3"/>
        <v>5965.3648210753463</v>
      </c>
      <c r="T11" s="146">
        <f t="shared" si="4"/>
        <v>7927.4870253657018</v>
      </c>
      <c r="U11" s="146">
        <f t="shared" si="5"/>
        <v>10784.852142559976</v>
      </c>
      <c r="V11" s="146">
        <f t="shared" si="6"/>
        <v>9776.9323205741621</v>
      </c>
      <c r="W11" s="146">
        <f t="shared" si="6"/>
        <v>20878.390600142629</v>
      </c>
    </row>
    <row r="12" spans="1:23" ht="17.25" customHeight="1">
      <c r="A12" s="3">
        <v>7</v>
      </c>
      <c r="B12" s="6" t="s">
        <v>18</v>
      </c>
      <c r="C12" s="146">
        <f ca="1">+'Plan Exp(%GSDP)'!C12</f>
        <v>1142.94</v>
      </c>
      <c r="D12" s="146">
        <f ca="1">+'Plan Exp(%GSDP)'!D12</f>
        <v>1119.3</v>
      </c>
      <c r="E12" s="146">
        <f ca="1">+'Plan Exp(%GSDP)'!E12</f>
        <v>1367.95</v>
      </c>
      <c r="F12" s="146">
        <f ca="1">+'Plan Exp(%GSDP)'!F12</f>
        <v>1833.88</v>
      </c>
      <c r="G12" s="146">
        <f ca="1">+'Plan Exp(%GSDP)'!G12</f>
        <v>1753.44</v>
      </c>
      <c r="H12" s="146">
        <f ca="1">+'Plan Exp(%GSDP)'!H12</f>
        <v>2271.21</v>
      </c>
      <c r="I12" s="146">
        <f ca="1">+'Plan Exp(%GSDP)'!I12</f>
        <v>2500.2199999999998</v>
      </c>
      <c r="J12" s="81">
        <v>0.10499261265698104</v>
      </c>
      <c r="K12" s="81">
        <v>0.10766678762117049</v>
      </c>
      <c r="L12" s="81">
        <v>0.11042959147840337</v>
      </c>
      <c r="M12" s="88">
        <v>0.11327419734673051</v>
      </c>
      <c r="N12" s="88">
        <v>0.11616505028092904</v>
      </c>
      <c r="O12" s="174">
        <v>0.11915642054046946</v>
      </c>
      <c r="P12" s="174">
        <f>+(O12/N12)*O12</f>
        <v>0.12222482167984873</v>
      </c>
      <c r="Q12" s="146">
        <f t="shared" si="1"/>
        <v>10885.908742304311</v>
      </c>
      <c r="R12" s="146">
        <f t="shared" si="2"/>
        <v>10395.963553201733</v>
      </c>
      <c r="S12" s="146">
        <f t="shared" si="3"/>
        <v>12387.531110875558</v>
      </c>
      <c r="T12" s="146">
        <f t="shared" si="4"/>
        <v>16189.741732501734</v>
      </c>
      <c r="U12" s="146">
        <f t="shared" si="5"/>
        <v>15094.385064695009</v>
      </c>
      <c r="V12" s="146">
        <f t="shared" si="6"/>
        <v>19060.743766036696</v>
      </c>
      <c r="W12" s="146">
        <f t="shared" si="6"/>
        <v>20455.910392317735</v>
      </c>
    </row>
    <row r="13" spans="1:23" ht="17.25" customHeight="1">
      <c r="A13" s="3">
        <v>8</v>
      </c>
      <c r="B13" s="6" t="s">
        <v>19</v>
      </c>
      <c r="C13" s="146">
        <f ca="1">+'Plan Exp(%GSDP)'!C13</f>
        <v>1296.97</v>
      </c>
      <c r="D13" s="146">
        <f ca="1">+'Plan Exp(%GSDP)'!D13</f>
        <v>1396.74</v>
      </c>
      <c r="E13" s="146">
        <f ca="1">+'Plan Exp(%GSDP)'!E13</f>
        <v>1568.55</v>
      </c>
      <c r="F13" s="146">
        <f ca="1">+'Plan Exp(%GSDP)'!F13</f>
        <v>2009.42</v>
      </c>
      <c r="G13" s="146">
        <f ca="1">+'Plan Exp(%GSDP)'!G13</f>
        <v>2069.39</v>
      </c>
      <c r="H13" s="146">
        <f ca="1">+'Plan Exp(%GSDP)'!H13</f>
        <v>3106.7</v>
      </c>
      <c r="I13" s="146">
        <f ca="1">+'Plan Exp(%GSDP)'!I13</f>
        <v>2732.77</v>
      </c>
      <c r="J13" s="81">
        <v>0.18699624857064523</v>
      </c>
      <c r="K13" s="81">
        <v>0.19010302987524846</v>
      </c>
      <c r="L13" s="81">
        <v>0.19320318324676342</v>
      </c>
      <c r="M13" s="88">
        <v>0.19520683673713918</v>
      </c>
      <c r="N13" s="88">
        <v>0.20119488263754368</v>
      </c>
      <c r="O13" s="174">
        <v>0.20759347572032161</v>
      </c>
      <c r="P13" s="174">
        <f>+(O13/N13)*O13</f>
        <v>0.21419556301181025</v>
      </c>
      <c r="Q13" s="146">
        <f t="shared" si="1"/>
        <v>6935.807589263045</v>
      </c>
      <c r="R13" s="146">
        <f t="shared" si="2"/>
        <v>7347.27900400422</v>
      </c>
      <c r="S13" s="146">
        <f t="shared" si="3"/>
        <v>8118.6550534036123</v>
      </c>
      <c r="T13" s="146">
        <f t="shared" si="4"/>
        <v>10293.799303278689</v>
      </c>
      <c r="U13" s="146">
        <f t="shared" si="5"/>
        <v>10285.50017212935</v>
      </c>
      <c r="V13" s="146">
        <f t="shared" si="6"/>
        <v>14965.306540680849</v>
      </c>
      <c r="W13" s="146">
        <f t="shared" si="6"/>
        <v>12758.294156865057</v>
      </c>
    </row>
    <row r="14" spans="1:23" ht="17.25" customHeight="1">
      <c r="A14" s="3">
        <v>9</v>
      </c>
      <c r="B14" s="6" t="s">
        <v>20</v>
      </c>
      <c r="C14" s="146">
        <f ca="1">+'Plan Exp(%GSDP)'!C14</f>
        <v>835.26</v>
      </c>
      <c r="D14" s="146">
        <f ca="1">+'Plan Exp(%GSDP)'!D14</f>
        <v>1129.51</v>
      </c>
      <c r="E14" s="146">
        <f ca="1">+'Plan Exp(%GSDP)'!E14</f>
        <v>1257.8599999999999</v>
      </c>
      <c r="F14" s="146">
        <f ca="1">+'Plan Exp(%GSDP)'!F14</f>
        <v>1132.0899999999999</v>
      </c>
      <c r="G14" s="146">
        <f ca="1">+'Plan Exp(%GSDP)'!G14</f>
        <v>1413.31</v>
      </c>
      <c r="H14" s="146">
        <f ca="1">+'Plan Exp(%GSDP)'!H14</f>
        <v>1657.97</v>
      </c>
      <c r="I14" s="146">
        <f ca="1">+'Plan Exp(%GSDP)'!I14</f>
        <v>2550.11</v>
      </c>
      <c r="J14" s="81">
        <v>5.8686606987809253E-2</v>
      </c>
      <c r="K14" s="81">
        <v>5.9510609330691619E-2</v>
      </c>
      <c r="L14" s="81">
        <v>6.0198829669929232E-2</v>
      </c>
      <c r="M14" s="88">
        <v>6.0896189017696341E-2</v>
      </c>
      <c r="N14" s="88">
        <v>6.1703338563007117E-2</v>
      </c>
      <c r="O14" s="174">
        <v>6.2303317009554E-2</v>
      </c>
      <c r="P14" s="174">
        <f>+(O14/N14)*O14</f>
        <v>6.2909129405198355E-2</v>
      </c>
      <c r="Q14" s="146">
        <f t="shared" si="1"/>
        <v>14232.548836457787</v>
      </c>
      <c r="R14" s="146">
        <f t="shared" si="2"/>
        <v>18979.977061291385</v>
      </c>
      <c r="S14" s="146">
        <f t="shared" si="3"/>
        <v>20895.090600545867</v>
      </c>
      <c r="T14" s="146">
        <f t="shared" si="4"/>
        <v>18590.490115416193</v>
      </c>
      <c r="U14" s="146">
        <f t="shared" si="5"/>
        <v>22904.919456778291</v>
      </c>
      <c r="V14" s="146">
        <f t="shared" si="6"/>
        <v>26611.263726869565</v>
      </c>
      <c r="W14" s="146">
        <f t="shared" si="6"/>
        <v>40536.405830300326</v>
      </c>
    </row>
    <row r="15" spans="1:23" ht="17.25" customHeight="1">
      <c r="A15" s="3">
        <v>10</v>
      </c>
      <c r="B15" s="6" t="s">
        <v>21</v>
      </c>
      <c r="C15" s="146">
        <f ca="1">+'Plan Exp(%GSDP)'!C15</f>
        <v>1424.19</v>
      </c>
      <c r="D15" s="146">
        <f ca="1">+'Plan Exp(%GSDP)'!D15</f>
        <v>1795.73</v>
      </c>
      <c r="E15" s="146">
        <f ca="1">+'Plan Exp(%GSDP)'!E15</f>
        <v>2077.33</v>
      </c>
      <c r="F15" s="146">
        <f ca="1">+'Plan Exp(%GSDP)'!F15</f>
        <v>1887.29</v>
      </c>
      <c r="G15" s="146">
        <f ca="1">+'Plan Exp(%GSDP)'!G15</f>
        <v>2396.87</v>
      </c>
      <c r="H15" s="146">
        <f ca="1">+'Plan Exp(%GSDP)'!H15</f>
        <v>2688.59</v>
      </c>
      <c r="I15" s="146">
        <f ca="1">+'Plan Exp(%GSDP)'!I15</f>
        <v>3812.09</v>
      </c>
      <c r="J15" s="81">
        <v>0.34739710716694622</v>
      </c>
      <c r="K15" s="81">
        <v>0.35149999999999998</v>
      </c>
      <c r="L15" s="81">
        <v>0.35569146059196433</v>
      </c>
      <c r="M15" s="88">
        <v>0.35989066234328076</v>
      </c>
      <c r="N15" s="88">
        <v>0.364107605762227</v>
      </c>
      <c r="O15" s="174">
        <v>0.36830654652793698</v>
      </c>
      <c r="P15" s="174">
        <f>+(O15/N15)*O15</f>
        <v>0.37255391007656857</v>
      </c>
      <c r="Q15" s="146">
        <f t="shared" si="1"/>
        <v>4099.6023588520757</v>
      </c>
      <c r="R15" s="146">
        <f t="shared" si="2"/>
        <v>5108.7624466571842</v>
      </c>
      <c r="S15" s="146">
        <f t="shared" si="3"/>
        <v>5840.2582860515549</v>
      </c>
      <c r="T15" s="146">
        <f t="shared" si="4"/>
        <v>5244.0649271411585</v>
      </c>
      <c r="U15" s="146">
        <f t="shared" si="5"/>
        <v>6582.8616652551518</v>
      </c>
      <c r="V15" s="146">
        <f t="shared" si="6"/>
        <v>7299.8702448968388</v>
      </c>
      <c r="W15" s="146">
        <f t="shared" si="6"/>
        <v>10232.317785140212</v>
      </c>
    </row>
    <row r="16" spans="1:23" ht="17.25" customHeight="1">
      <c r="A16" s="3">
        <v>11</v>
      </c>
      <c r="B16" s="6" t="s">
        <v>22</v>
      </c>
      <c r="C16" s="146">
        <f ca="1">+'Plan Exp(%GSDP)'!C16</f>
        <v>4186.13</v>
      </c>
      <c r="D16" s="146">
        <f ca="1">+'Plan Exp(%GSDP)'!D16</f>
        <v>4192.3999999999996</v>
      </c>
      <c r="E16" s="146">
        <f ca="1">+'Plan Exp(%GSDP)'!E16</f>
        <v>3810.16</v>
      </c>
      <c r="F16" s="146">
        <f ca="1">+'Plan Exp(%GSDP)'!F16</f>
        <v>4367.29</v>
      </c>
      <c r="G16" s="146">
        <f ca="1">+'Plan Exp(%GSDP)'!G16</f>
        <v>4625.12</v>
      </c>
      <c r="H16" s="146">
        <f ca="1">+'Plan Exp(%GSDP)'!H16</f>
        <v>5511.09</v>
      </c>
      <c r="I16" s="146">
        <f ca="1">+'Plan Exp(%GSDP)'!I16</f>
        <v>8710.3799999999992</v>
      </c>
      <c r="J16" s="81">
        <v>0.94510563135508641</v>
      </c>
      <c r="K16" s="81">
        <v>0.95970217145052783</v>
      </c>
      <c r="L16" s="81">
        <v>0.97419872524619677</v>
      </c>
      <c r="M16" s="88">
        <v>0.98849889594819762</v>
      </c>
      <c r="N16" s="88">
        <v>1.0027028941032057</v>
      </c>
      <c r="O16" s="174">
        <v>1.0167028955787056</v>
      </c>
      <c r="P16" s="174">
        <v>1.0305973600882343</v>
      </c>
      <c r="Q16" s="146">
        <f t="shared" si="1"/>
        <v>4429.2720952238469</v>
      </c>
      <c r="R16" s="146">
        <f t="shared" si="2"/>
        <v>4368.4385893005301</v>
      </c>
      <c r="S16" s="146">
        <f t="shared" si="3"/>
        <v>3911.0706073210135</v>
      </c>
      <c r="T16" s="146">
        <f t="shared" si="4"/>
        <v>4418.1030630396053</v>
      </c>
      <c r="U16" s="146">
        <f t="shared" si="5"/>
        <v>4612.6524887879177</v>
      </c>
      <c r="V16" s="146">
        <f t="shared" si="6"/>
        <v>5420.5511009812717</v>
      </c>
      <c r="W16" s="146">
        <f t="shared" si="6"/>
        <v>8451.7779079642332</v>
      </c>
    </row>
    <row r="17" spans="1:23" s="75" customFormat="1" ht="17.25" customHeight="1">
      <c r="A17" s="72"/>
      <c r="B17" s="4" t="s">
        <v>23</v>
      </c>
      <c r="C17" s="147">
        <f t="shared" ref="C17:P17" si="7">SUM(C6:C16)</f>
        <v>23451.439999999999</v>
      </c>
      <c r="D17" s="147">
        <f t="shared" si="7"/>
        <v>28977.260000000002</v>
      </c>
      <c r="E17" s="147">
        <f ca="1">SUM(E6:E16)</f>
        <v>31538.51</v>
      </c>
      <c r="F17" s="147">
        <f ca="1">SUM(F6:F16)</f>
        <v>35928.25</v>
      </c>
      <c r="G17" s="147">
        <f ca="1">SUM(G6:G16)</f>
        <v>39362.110000000008</v>
      </c>
      <c r="H17" s="147">
        <f ca="1">SUM(H6:H16)</f>
        <v>43237.229999999996</v>
      </c>
      <c r="I17" s="147">
        <f ca="1">SUM(I6:I16)</f>
        <v>59533.88</v>
      </c>
      <c r="J17" s="82">
        <f t="shared" si="7"/>
        <v>6.9889361100452803</v>
      </c>
      <c r="K17" s="82">
        <f t="shared" si="7"/>
        <v>7.0857364124359776</v>
      </c>
      <c r="L17" s="82">
        <f t="shared" si="7"/>
        <v>7.182007753803493</v>
      </c>
      <c r="M17" s="87">
        <f t="shared" si="7"/>
        <v>7.2768279168079326</v>
      </c>
      <c r="N17" s="87">
        <f t="shared" si="7"/>
        <v>7.3822143219488803</v>
      </c>
      <c r="O17" s="175">
        <f t="shared" si="7"/>
        <v>7.4811339306593041</v>
      </c>
      <c r="P17" s="175">
        <f t="shared" si="7"/>
        <v>7.5800299505581084</v>
      </c>
      <c r="Q17" s="147">
        <f t="shared" si="1"/>
        <v>3355.5092836365993</v>
      </c>
      <c r="R17" s="147">
        <f t="shared" si="2"/>
        <v>4089.5198908532393</v>
      </c>
      <c r="S17" s="147">
        <f>+E17/L17</f>
        <v>4391.3221874896526</v>
      </c>
      <c r="T17" s="147">
        <f>+F17/M17</f>
        <v>4937.3505063948733</v>
      </c>
      <c r="U17" s="147">
        <f>+G17/N17</f>
        <v>5332.0194027648522</v>
      </c>
      <c r="V17" s="147">
        <f>+G17/N17</f>
        <v>5332.0194027648522</v>
      </c>
      <c r="W17" s="147">
        <f>+H17/O17</f>
        <v>5779.5021985643752</v>
      </c>
    </row>
    <row r="18" spans="1:23" ht="17.25" customHeight="1">
      <c r="A18" s="3"/>
      <c r="B18" s="4" t="s">
        <v>189</v>
      </c>
      <c r="C18" s="147"/>
      <c r="D18" s="147"/>
      <c r="E18" s="147"/>
      <c r="F18" s="147"/>
      <c r="G18" s="147"/>
      <c r="H18" s="147"/>
      <c r="I18" s="147"/>
      <c r="J18" s="82"/>
      <c r="K18" s="82"/>
      <c r="L18" s="82"/>
      <c r="M18" s="87"/>
      <c r="N18" s="87"/>
      <c r="O18" s="175"/>
      <c r="P18" s="175"/>
      <c r="Q18" s="146"/>
      <c r="R18" s="146"/>
      <c r="S18" s="143"/>
      <c r="T18" s="143"/>
      <c r="U18" s="143"/>
      <c r="V18" s="143"/>
      <c r="W18" s="143"/>
    </row>
    <row r="19" spans="1:23" ht="17.25" customHeight="1">
      <c r="A19" s="3">
        <v>12</v>
      </c>
      <c r="B19" s="6" t="s">
        <v>78</v>
      </c>
      <c r="C19" s="146">
        <f ca="1">+'Plan Exp(%GSDP)'!C19</f>
        <v>28987.43</v>
      </c>
      <c r="D19" s="146">
        <f ca="1">+'Plan Exp(%GSDP)'!D19</f>
        <v>32700.639999999999</v>
      </c>
      <c r="E19" s="146">
        <f ca="1">+'Plan Exp(%GSDP)'!E19</f>
        <v>30910.26</v>
      </c>
      <c r="F19" s="146">
        <f ca="1">+'Plan Exp(%GSDP)'!F19</f>
        <v>34033.74</v>
      </c>
      <c r="G19" s="146">
        <f ca="1">+'Plan Exp(%GSDP)'!G19</f>
        <v>41973.1</v>
      </c>
      <c r="H19" s="146">
        <f ca="1">+'Plan Exp(%GSDP)'!H19</f>
        <v>43713.1</v>
      </c>
      <c r="I19" s="146">
        <f ca="1">+'Plan Exp(%GSDP)'!I19</f>
        <v>59422.48</v>
      </c>
      <c r="J19" s="81">
        <v>8.2049105722030351</v>
      </c>
      <c r="K19" s="81">
        <v>8.2858010788663012</v>
      </c>
      <c r="L19" s="81">
        <v>8.3648937394377469</v>
      </c>
      <c r="M19" s="88">
        <v>8.442601287239448</v>
      </c>
      <c r="N19" s="88">
        <v>8.5187932608680885</v>
      </c>
      <c r="O19" s="174">
        <v>8.5934986068512735</v>
      </c>
      <c r="P19" s="174">
        <v>8.6663001545567955</v>
      </c>
      <c r="Q19" s="146">
        <f t="shared" ref="Q19:W19" si="8">+C19/J19</f>
        <v>3532.9367389091258</v>
      </c>
      <c r="R19" s="146">
        <f t="shared" si="8"/>
        <v>3946.5876248714194</v>
      </c>
      <c r="S19" s="146">
        <f t="shared" si="8"/>
        <v>3695.2364205498748</v>
      </c>
      <c r="T19" s="146">
        <f t="shared" si="8"/>
        <v>4031.1911983146974</v>
      </c>
      <c r="U19" s="146">
        <f t="shared" si="8"/>
        <v>4927.1180453231027</v>
      </c>
      <c r="V19" s="146">
        <f t="shared" si="8"/>
        <v>5086.764075943317</v>
      </c>
      <c r="W19" s="146">
        <f t="shared" si="8"/>
        <v>6856.7299701424818</v>
      </c>
    </row>
    <row r="20" spans="1:23" ht="17.25" customHeight="1">
      <c r="A20" s="3">
        <v>13</v>
      </c>
      <c r="B20" s="6" t="s">
        <v>26</v>
      </c>
      <c r="C20" s="146">
        <f ca="1">+'Plan Exp(%GSDP)'!C20</f>
        <v>10945.7</v>
      </c>
      <c r="D20" s="146">
        <f ca="1">+'Plan Exp(%GSDP)'!D20</f>
        <v>13813.74</v>
      </c>
      <c r="E20" s="146">
        <f ca="1">+'Plan Exp(%GSDP)'!E20</f>
        <v>16194.18</v>
      </c>
      <c r="F20" s="146">
        <f ca="1">+'Plan Exp(%GSDP)'!F20</f>
        <v>20910.54</v>
      </c>
      <c r="G20" s="146">
        <f ca="1">+'Plan Exp(%GSDP)'!G20</f>
        <v>22984.6</v>
      </c>
      <c r="H20" s="146">
        <f ca="1">+'Plan Exp(%GSDP)'!H20</f>
        <v>28381.16</v>
      </c>
      <c r="I20" s="146">
        <f ca="1">+'Plan Exp(%GSDP)'!I20</f>
        <v>39006.300000000003</v>
      </c>
      <c r="J20" s="81">
        <v>9.3071215274635772</v>
      </c>
      <c r="K20" s="81">
        <v>9.447115384615385</v>
      </c>
      <c r="L20" s="81">
        <v>9.5847835931940217</v>
      </c>
      <c r="M20" s="88">
        <v>9.7190285088862254</v>
      </c>
      <c r="N20" s="88">
        <v>9.8504778946449623</v>
      </c>
      <c r="O20" s="174">
        <v>9.9787655522346554</v>
      </c>
      <c r="P20" s="174">
        <v>10.103589467706746</v>
      </c>
      <c r="Q20" s="146">
        <f t="shared" ref="Q20:Q36" si="9">+C20/J20</f>
        <v>1176.0564174112569</v>
      </c>
      <c r="R20" s="146">
        <f t="shared" ref="R20:R36" si="10">+D20/K20</f>
        <v>1462.2177709923662</v>
      </c>
      <c r="S20" s="146">
        <f t="shared" ref="S20:S35" si="11">+E20/L20</f>
        <v>1689.5717928883851</v>
      </c>
      <c r="T20" s="146">
        <f t="shared" ref="T20:T35" si="12">+F20/M20</f>
        <v>2151.5051613318392</v>
      </c>
      <c r="U20" s="146">
        <f t="shared" ref="U20:U35" si="13">+G20/N20</f>
        <v>2333.3487213341364</v>
      </c>
      <c r="V20" s="146">
        <f t="shared" ref="V20:W35" si="14">+H20/O20</f>
        <v>2844.1554069425242</v>
      </c>
      <c r="W20" s="146">
        <f t="shared" si="14"/>
        <v>3860.6378579288639</v>
      </c>
    </row>
    <row r="21" spans="1:23" ht="17.25" customHeight="1">
      <c r="A21" s="3">
        <v>14</v>
      </c>
      <c r="B21" s="6" t="s">
        <v>27</v>
      </c>
      <c r="C21" s="146">
        <f ca="1">+'Plan Exp(%GSDP)'!C21</f>
        <v>6676.77</v>
      </c>
      <c r="D21" s="146">
        <f ca="1">+'Plan Exp(%GSDP)'!D21</f>
        <v>8840.39</v>
      </c>
      <c r="E21" s="146">
        <f ca="1">+'Plan Exp(%GSDP)'!E21</f>
        <v>10449.52</v>
      </c>
      <c r="F21" s="146">
        <f ca="1">+'Plan Exp(%GSDP)'!F21</f>
        <v>11576.43</v>
      </c>
      <c r="G21" s="146">
        <f ca="1">+'Plan Exp(%GSDP)'!G21</f>
        <v>15319.55</v>
      </c>
      <c r="H21" s="146">
        <f ca="1">+'Plan Exp(%GSDP)'!H21</f>
        <v>19236.990000000002</v>
      </c>
      <c r="I21" s="146">
        <f ca="1">+'Plan Exp(%GSDP)'!I21</f>
        <v>24698.67</v>
      </c>
      <c r="J21" s="81">
        <v>2.3600051645376707</v>
      </c>
      <c r="K21" s="81">
        <v>2.4100081489002609</v>
      </c>
      <c r="L21" s="81">
        <v>2.4500040731360064</v>
      </c>
      <c r="M21" s="88">
        <v>2.5000080165835423</v>
      </c>
      <c r="N21" s="88">
        <v>2.5499995506094</v>
      </c>
      <c r="O21" s="174">
        <v>2.5999966463365363</v>
      </c>
      <c r="P21" s="174">
        <v>2.6499933321582394</v>
      </c>
      <c r="Q21" s="146">
        <f t="shared" si="9"/>
        <v>2829.1336393359088</v>
      </c>
      <c r="R21" s="146">
        <f t="shared" si="10"/>
        <v>3668.1992150250867</v>
      </c>
      <c r="S21" s="146">
        <f t="shared" si="11"/>
        <v>4265.103113328546</v>
      </c>
      <c r="T21" s="146">
        <f t="shared" si="12"/>
        <v>4630.5571515006995</v>
      </c>
      <c r="U21" s="146">
        <f t="shared" si="13"/>
        <v>6007.6677254076094</v>
      </c>
      <c r="V21" s="146">
        <f t="shared" si="14"/>
        <v>7398.8518512535111</v>
      </c>
      <c r="W21" s="146">
        <f t="shared" si="14"/>
        <v>9320.2762815575134</v>
      </c>
    </row>
    <row r="22" spans="1:23" s="20" customFormat="1" ht="17.25" customHeight="1">
      <c r="A22" s="3">
        <v>15</v>
      </c>
      <c r="B22" s="6" t="s">
        <v>28</v>
      </c>
      <c r="C22" s="146">
        <f ca="1">+'Plan Exp(%GSDP)'!C22</f>
        <v>1250.81</v>
      </c>
      <c r="D22" s="146">
        <f ca="1">+'Plan Exp(%GSDP)'!D22</f>
        <v>1650.62</v>
      </c>
      <c r="E22" s="146">
        <f ca="1">+'Plan Exp(%GSDP)'!E22</f>
        <v>1896.33</v>
      </c>
      <c r="F22" s="146">
        <f ca="1">+'Plan Exp(%GSDP)'!F22</f>
        <v>2160</v>
      </c>
      <c r="G22" s="146">
        <f ca="1">+'Plan Exp(%GSDP)'!G22</f>
        <v>2307.4899999999998</v>
      </c>
      <c r="H22" s="146">
        <f ca="1">+'Plan Exp(%GSDP)'!H22</f>
        <v>3488.83</v>
      </c>
      <c r="I22" s="146">
        <f ca="1">+'Plan Exp(%GSDP)'!I22</f>
        <v>4453.47</v>
      </c>
      <c r="J22" s="81">
        <v>0.15679555866746628</v>
      </c>
      <c r="K22" s="81">
        <v>0.162901478389751</v>
      </c>
      <c r="L22" s="81">
        <v>0.16910248918796544</v>
      </c>
      <c r="M22" s="88">
        <v>0.1748975140492266</v>
      </c>
      <c r="N22" s="88">
        <v>0.17990183284384029</v>
      </c>
      <c r="O22" s="174">
        <v>0.18469699885904853</v>
      </c>
      <c r="P22" s="174">
        <f>+(O22/N22)*O22</f>
        <v>0.18961997689679111</v>
      </c>
      <c r="Q22" s="146">
        <f t="shared" si="9"/>
        <v>7977.3305483271461</v>
      </c>
      <c r="R22" s="146">
        <f t="shared" si="10"/>
        <v>10132.627501702582</v>
      </c>
      <c r="S22" s="146">
        <f t="shared" si="11"/>
        <v>11214.086848196179</v>
      </c>
      <c r="T22" s="146">
        <f t="shared" si="12"/>
        <v>12350.089775387243</v>
      </c>
      <c r="U22" s="146">
        <f t="shared" si="13"/>
        <v>12826.384053590851</v>
      </c>
      <c r="V22" s="146">
        <f t="shared" si="14"/>
        <v>18889.478559759922</v>
      </c>
      <c r="W22" s="146">
        <f t="shared" si="14"/>
        <v>23486.291227764435</v>
      </c>
    </row>
    <row r="23" spans="1:23" ht="17.25" customHeight="1">
      <c r="A23" s="3">
        <v>16</v>
      </c>
      <c r="B23" s="6" t="s">
        <v>29</v>
      </c>
      <c r="C23" s="146">
        <f ca="1">+'Plan Exp(%GSDP)'!C23</f>
        <v>14651.48</v>
      </c>
      <c r="D23" s="146">
        <f ca="1">+'Plan Exp(%GSDP)'!D23</f>
        <v>20754.98</v>
      </c>
      <c r="E23" s="146">
        <f ca="1">+'Plan Exp(%GSDP)'!E23</f>
        <v>21661.46</v>
      </c>
      <c r="F23" s="146">
        <f ca="1">+'Plan Exp(%GSDP)'!F23</f>
        <v>25798.27</v>
      </c>
      <c r="G23" s="146">
        <f ca="1">+'Plan Exp(%GSDP)'!G23</f>
        <v>30180.17</v>
      </c>
      <c r="H23" s="146">
        <f ca="1">+'Plan Exp(%GSDP)'!H23</f>
        <v>42057.17</v>
      </c>
      <c r="I23" s="146">
        <f ca="1">+'Plan Exp(%GSDP)'!I23</f>
        <v>48364.800000000003</v>
      </c>
      <c r="J23" s="81">
        <v>5.6298000000000004</v>
      </c>
      <c r="K23" s="81">
        <v>5.7108999999999996</v>
      </c>
      <c r="L23" s="81">
        <v>5.7909999999999995</v>
      </c>
      <c r="M23" s="88">
        <v>5.8702021944076384</v>
      </c>
      <c r="N23" s="88">
        <v>5.948499647126325</v>
      </c>
      <c r="O23" s="174">
        <v>6.0259024144959765</v>
      </c>
      <c r="P23" s="174">
        <f>+(O23/N23)*O23</f>
        <v>6.1043123582549512</v>
      </c>
      <c r="Q23" s="146">
        <f t="shared" si="9"/>
        <v>2602.486766847845</v>
      </c>
      <c r="R23" s="146">
        <f t="shared" si="10"/>
        <v>3634.2748078236355</v>
      </c>
      <c r="S23" s="146">
        <f t="shared" si="11"/>
        <v>3740.5387670523228</v>
      </c>
      <c r="T23" s="146">
        <f t="shared" si="12"/>
        <v>4394.7838840333679</v>
      </c>
      <c r="U23" s="146">
        <f t="shared" si="13"/>
        <v>5073.5768328707572</v>
      </c>
      <c r="V23" s="146">
        <f t="shared" si="14"/>
        <v>6979.3977909145706</v>
      </c>
      <c r="W23" s="146">
        <f t="shared" si="14"/>
        <v>7923.0545819949029</v>
      </c>
    </row>
    <row r="24" spans="1:23" ht="17.25" customHeight="1">
      <c r="A24" s="3">
        <v>17</v>
      </c>
      <c r="B24" s="6" t="s">
        <v>30</v>
      </c>
      <c r="C24" s="146">
        <f ca="1">+'Plan Exp(%GSDP)'!C24</f>
        <v>6613</v>
      </c>
      <c r="D24" s="146">
        <f ca="1">+'Plan Exp(%GSDP)'!D24</f>
        <v>7928</v>
      </c>
      <c r="E24" s="146">
        <f ca="1">+'Plan Exp(%GSDP)'!E24</f>
        <v>10534</v>
      </c>
      <c r="F24" s="146">
        <f ca="1">+'Plan Exp(%GSDP)'!F24</f>
        <v>10635</v>
      </c>
      <c r="G24" s="146">
        <f ca="1">+'Plan Exp(%GSDP)'!G24</f>
        <v>12510</v>
      </c>
      <c r="H24" s="146">
        <f ca="1">+'Plan Exp(%GSDP)'!H24</f>
        <v>16335</v>
      </c>
      <c r="I24" s="146">
        <f ca="1">+'Plan Exp(%GSDP)'!I24</f>
        <v>20352</v>
      </c>
      <c r="J24" s="81">
        <v>2.3997014055534507</v>
      </c>
      <c r="K24" s="81">
        <v>2.4424955492804443</v>
      </c>
      <c r="L24" s="81">
        <v>2.484900975164102</v>
      </c>
      <c r="M24" s="88">
        <v>2.5269968034683274</v>
      </c>
      <c r="N24" s="88">
        <v>2.5685961700388047</v>
      </c>
      <c r="O24" s="174">
        <v>2.6099005816267726</v>
      </c>
      <c r="P24" s="174">
        <v>2.6510010369823895</v>
      </c>
      <c r="Q24" s="146">
        <f t="shared" si="9"/>
        <v>2755.7595227039606</v>
      </c>
      <c r="R24" s="146">
        <f t="shared" si="10"/>
        <v>3245.8605717155051</v>
      </c>
      <c r="S24" s="146">
        <f t="shared" si="11"/>
        <v>4239.2031333579953</v>
      </c>
      <c r="T24" s="146">
        <f t="shared" si="12"/>
        <v>4208.5530086161407</v>
      </c>
      <c r="U24" s="146">
        <f t="shared" si="13"/>
        <v>4870.3646551847842</v>
      </c>
      <c r="V24" s="146">
        <f t="shared" si="14"/>
        <v>6258.8590979271166</v>
      </c>
      <c r="W24" s="146">
        <f t="shared" si="14"/>
        <v>7677.0999769832215</v>
      </c>
    </row>
    <row r="25" spans="1:23" ht="17.25" customHeight="1">
      <c r="A25" s="3">
        <v>18</v>
      </c>
      <c r="B25" s="6" t="s">
        <v>31</v>
      </c>
      <c r="C25" s="146">
        <f ca="1">+'Plan Exp(%GSDP)'!C25</f>
        <v>5953.78</v>
      </c>
      <c r="D25" s="146">
        <f ca="1">+'Plan Exp(%GSDP)'!D25</f>
        <v>7083.01</v>
      </c>
      <c r="E25" s="146">
        <f ca="1">+'Plan Exp(%GSDP)'!E25</f>
        <v>6732.57</v>
      </c>
      <c r="F25" s="146">
        <f ca="1">+'Plan Exp(%GSDP)'!F25</f>
        <v>8795.51</v>
      </c>
      <c r="G25" s="146">
        <f ca="1">+'Plan Exp(%GSDP)'!G25</f>
        <v>10943.67</v>
      </c>
      <c r="H25" s="146">
        <f ca="1">+'Plan Exp(%GSDP)'!H25</f>
        <v>12438.01</v>
      </c>
      <c r="I25" s="146">
        <f ca="1">+'Plan Exp(%GSDP)'!I25</f>
        <v>19151.900000000001</v>
      </c>
      <c r="J25" s="81">
        <v>3.0008471499455402</v>
      </c>
      <c r="K25" s="81">
        <v>3.0437594825521042</v>
      </c>
      <c r="L25" s="81">
        <v>3.0865606065974558</v>
      </c>
      <c r="M25" s="88">
        <v>3.1292877509288326</v>
      </c>
      <c r="N25" s="88">
        <v>3.1727296181630549</v>
      </c>
      <c r="O25" s="174">
        <v>3.2158928368713817</v>
      </c>
      <c r="P25" s="174">
        <v>3.2587730673316706</v>
      </c>
      <c r="Q25" s="146">
        <f t="shared" si="9"/>
        <v>1984.0330754960478</v>
      </c>
      <c r="R25" s="146">
        <f t="shared" si="10"/>
        <v>2327.0596906891938</v>
      </c>
      <c r="S25" s="146">
        <f t="shared" si="11"/>
        <v>2181.2531351593352</v>
      </c>
      <c r="T25" s="146">
        <f t="shared" si="12"/>
        <v>2810.7066847365904</v>
      </c>
      <c r="U25" s="146">
        <f t="shared" si="13"/>
        <v>3449.2917194551737</v>
      </c>
      <c r="V25" s="146">
        <f t="shared" si="14"/>
        <v>3867.6693008528423</v>
      </c>
      <c r="W25" s="146">
        <f t="shared" si="14"/>
        <v>5877.0278274337916</v>
      </c>
    </row>
    <row r="26" spans="1:23" ht="17.25" customHeight="1">
      <c r="A26" s="3">
        <v>19</v>
      </c>
      <c r="B26" s="6" t="s">
        <v>32</v>
      </c>
      <c r="C26" s="146">
        <f ca="1">+'Plan Exp(%GSDP)'!C26</f>
        <v>16263.04</v>
      </c>
      <c r="D26" s="146">
        <f ca="1">+'Plan Exp(%GSDP)'!D26</f>
        <v>19889.16</v>
      </c>
      <c r="E26" s="146">
        <f ca="1">+'Plan Exp(%GSDP)'!E26</f>
        <v>24337</v>
      </c>
      <c r="F26" s="146">
        <f ca="1">+'Plan Exp(%GSDP)'!F26</f>
        <v>29506</v>
      </c>
      <c r="G26" s="146">
        <f ca="1">+'Plan Exp(%GSDP)'!G26</f>
        <v>35219</v>
      </c>
      <c r="H26" s="146">
        <f ca="1">+'Plan Exp(%GSDP)'!H26</f>
        <v>37453</v>
      </c>
      <c r="I26" s="146">
        <f ca="1">+'Plan Exp(%GSDP)'!I26</f>
        <v>50847</v>
      </c>
      <c r="J26" s="81">
        <v>5.7291905302781014</v>
      </c>
      <c r="K26" s="81">
        <v>5.7926970774320905</v>
      </c>
      <c r="L26" s="81">
        <v>5.8551917871433741</v>
      </c>
      <c r="M26" s="88">
        <v>5.916993574387031</v>
      </c>
      <c r="N26" s="88">
        <v>5.9780004397086586</v>
      </c>
      <c r="O26" s="174">
        <v>6.0381984477971473</v>
      </c>
      <c r="P26" s="174">
        <v>6.0975055307113211</v>
      </c>
      <c r="Q26" s="146">
        <f t="shared" si="9"/>
        <v>2838.6278853970275</v>
      </c>
      <c r="R26" s="146">
        <f t="shared" si="10"/>
        <v>3433.4887072701699</v>
      </c>
      <c r="S26" s="146">
        <f t="shared" si="11"/>
        <v>4156.4821247082518</v>
      </c>
      <c r="T26" s="146">
        <f t="shared" si="12"/>
        <v>4986.6540548096955</v>
      </c>
      <c r="U26" s="146">
        <f t="shared" si="13"/>
        <v>5891.4348292882396</v>
      </c>
      <c r="V26" s="146">
        <f t="shared" si="14"/>
        <v>6202.6778887440487</v>
      </c>
      <c r="W26" s="146">
        <f t="shared" si="14"/>
        <v>8338.9838260742508</v>
      </c>
    </row>
    <row r="27" spans="1:23" ht="17.25" customHeight="1">
      <c r="A27" s="3">
        <v>20</v>
      </c>
      <c r="B27" s="6" t="s">
        <v>33</v>
      </c>
      <c r="C27" s="146">
        <f ca="1">+'Plan Exp(%GSDP)'!C27</f>
        <v>4548.87</v>
      </c>
      <c r="D27" s="146">
        <f ca="1">+'Plan Exp(%GSDP)'!D27</f>
        <v>5461.87</v>
      </c>
      <c r="E27" s="146">
        <f ca="1">+'Plan Exp(%GSDP)'!E27</f>
        <v>6785.41</v>
      </c>
      <c r="F27" s="146">
        <f ca="1">+'Plan Exp(%GSDP)'!F27</f>
        <v>7280.71</v>
      </c>
      <c r="G27" s="146">
        <f ca="1">+'Plan Exp(%GSDP)'!G27</f>
        <v>9141.98</v>
      </c>
      <c r="H27" s="146">
        <f ca="1">+'Plan Exp(%GSDP)'!H27</f>
        <v>11874.59</v>
      </c>
      <c r="I27" s="146">
        <f ca="1">+'Plan Exp(%GSDP)'!I27</f>
        <v>8774</v>
      </c>
      <c r="J27" s="81">
        <v>3.3693873085339168</v>
      </c>
      <c r="K27" s="81">
        <v>3.395807412434491</v>
      </c>
      <c r="L27" s="81">
        <v>3.4216119284030153</v>
      </c>
      <c r="M27" s="88">
        <v>3.4467125879500977</v>
      </c>
      <c r="N27" s="88">
        <v>3.4707923507724496</v>
      </c>
      <c r="O27" s="174">
        <v>3.4942108057428807</v>
      </c>
      <c r="P27" s="174">
        <f>+(O27/N27)*O27</f>
        <v>3.517787271904353</v>
      </c>
      <c r="Q27" s="146">
        <f t="shared" si="9"/>
        <v>1350.0585072184231</v>
      </c>
      <c r="R27" s="146">
        <f t="shared" si="10"/>
        <v>1608.4157128582053</v>
      </c>
      <c r="S27" s="146">
        <f t="shared" si="11"/>
        <v>1983.1033273159605</v>
      </c>
      <c r="T27" s="146">
        <f t="shared" si="12"/>
        <v>2112.3635389425199</v>
      </c>
      <c r="U27" s="146">
        <f t="shared" si="13"/>
        <v>2633.9749187142775</v>
      </c>
      <c r="V27" s="146">
        <f t="shared" si="14"/>
        <v>3398.3610778386978</v>
      </c>
      <c r="W27" s="146">
        <f t="shared" si="14"/>
        <v>2494.1815186141707</v>
      </c>
    </row>
    <row r="28" spans="1:23" ht="17.25" customHeight="1">
      <c r="A28" s="3">
        <v>21</v>
      </c>
      <c r="B28" s="6" t="s">
        <v>34</v>
      </c>
      <c r="C28" s="146">
        <f ca="1">+'Plan Exp(%GSDP)'!C28</f>
        <v>13763.15</v>
      </c>
      <c r="D28" s="146">
        <f ca="1">+'Plan Exp(%GSDP)'!D28</f>
        <v>14802.22</v>
      </c>
      <c r="E28" s="146">
        <f ca="1">+'Plan Exp(%GSDP)'!E28</f>
        <v>18378.41</v>
      </c>
      <c r="F28" s="146">
        <f ca="1">+'Plan Exp(%GSDP)'!F28</f>
        <v>22520.86</v>
      </c>
      <c r="G28" s="146">
        <f ca="1">+'Plan Exp(%GSDP)'!G28</f>
        <v>26268.66</v>
      </c>
      <c r="H28" s="146">
        <f ca="1">+'Plan Exp(%GSDP)'!H28</f>
        <v>31192.29</v>
      </c>
      <c r="I28" s="146">
        <f ca="1">+'Plan Exp(%GSDP)'!I28</f>
        <v>37608.17</v>
      </c>
      <c r="J28" s="81">
        <v>6.8266128968945763</v>
      </c>
      <c r="K28" s="81">
        <v>6.9428011867833348</v>
      </c>
      <c r="L28" s="81">
        <v>7.0582157062532715</v>
      </c>
      <c r="M28" s="88">
        <v>7.1731963023808341</v>
      </c>
      <c r="N28" s="88">
        <v>7.2879092155693517</v>
      </c>
      <c r="O28" s="174">
        <v>7.4019975549691264</v>
      </c>
      <c r="P28" s="174">
        <v>7.5153033314565754</v>
      </c>
      <c r="Q28" s="146">
        <f t="shared" si="9"/>
        <v>2016.1023054728723</v>
      </c>
      <c r="R28" s="146">
        <f t="shared" si="10"/>
        <v>2132.0241789694696</v>
      </c>
      <c r="S28" s="146">
        <f t="shared" si="11"/>
        <v>2603.8322948556997</v>
      </c>
      <c r="T28" s="146">
        <f t="shared" si="12"/>
        <v>3139.5850678901916</v>
      </c>
      <c r="U28" s="146">
        <f t="shared" si="13"/>
        <v>3604.4164688387682</v>
      </c>
      <c r="V28" s="146">
        <f t="shared" si="14"/>
        <v>4214.0367878208663</v>
      </c>
      <c r="W28" s="146">
        <f t="shared" si="14"/>
        <v>5004.2118516473756</v>
      </c>
    </row>
    <row r="29" spans="1:23" ht="17.25" customHeight="1">
      <c r="A29" s="3">
        <v>22</v>
      </c>
      <c r="B29" s="6" t="s">
        <v>35</v>
      </c>
      <c r="C29" s="146">
        <f ca="1">+'Plan Exp(%GSDP)'!C29</f>
        <v>19997.79</v>
      </c>
      <c r="D29" s="146">
        <f ca="1">+'Plan Exp(%GSDP)'!D29</f>
        <v>25692.48</v>
      </c>
      <c r="E29" s="146">
        <f ca="1">+'Plan Exp(%GSDP)'!E29</f>
        <v>31878.52</v>
      </c>
      <c r="F29" s="146">
        <f ca="1">+'Plan Exp(%GSDP)'!F29</f>
        <v>33256.410000000003</v>
      </c>
      <c r="G29" s="146">
        <f ca="1">+'Plan Exp(%GSDP)'!G29</f>
        <v>37507.58</v>
      </c>
      <c r="H29" s="146">
        <f ca="1">+'Plan Exp(%GSDP)'!H29</f>
        <v>49715.01</v>
      </c>
      <c r="I29" s="146">
        <f ca="1">+'Plan Exp(%GSDP)'!I29</f>
        <v>130380.03</v>
      </c>
      <c r="J29" s="81">
        <v>10.732108427199309</v>
      </c>
      <c r="K29" s="81">
        <v>10.890798129321896</v>
      </c>
      <c r="L29" s="81">
        <v>11.048501961686675</v>
      </c>
      <c r="M29" s="88">
        <v>11.204198889427518</v>
      </c>
      <c r="N29" s="88">
        <v>11.35689657622429</v>
      </c>
      <c r="O29" s="174">
        <v>11.508302108591584</v>
      </c>
      <c r="P29" s="174">
        <f>+(O29/N29)*O29</f>
        <v>11.661726118020598</v>
      </c>
      <c r="Q29" s="146">
        <f t="shared" si="9"/>
        <v>1863.3607865270794</v>
      </c>
      <c r="R29" s="146">
        <f t="shared" si="10"/>
        <v>2359.0998285815913</v>
      </c>
      <c r="S29" s="146">
        <f t="shared" si="11"/>
        <v>2885.3250975151564</v>
      </c>
      <c r="T29" s="146">
        <f t="shared" si="12"/>
        <v>2968.2095371746163</v>
      </c>
      <c r="U29" s="146">
        <f t="shared" si="13"/>
        <v>3302.6258316486101</v>
      </c>
      <c r="V29" s="146">
        <f t="shared" si="14"/>
        <v>4319.9256963270891</v>
      </c>
      <c r="W29" s="146">
        <f t="shared" si="14"/>
        <v>11180.165670202692</v>
      </c>
    </row>
    <row r="30" spans="1:23" ht="17.25" customHeight="1">
      <c r="A30" s="3">
        <v>23</v>
      </c>
      <c r="B30" s="6" t="s">
        <v>74</v>
      </c>
      <c r="C30" s="146">
        <f ca="1">+'Plan Exp(%GSDP)'!C30</f>
        <v>7045.88</v>
      </c>
      <c r="D30" s="146">
        <f ca="1">+'Plan Exp(%GSDP)'!D30</f>
        <v>8933.01</v>
      </c>
      <c r="E30" s="146">
        <f ca="1">+'Plan Exp(%GSDP)'!E30</f>
        <v>8892.2199999999993</v>
      </c>
      <c r="F30" s="146">
        <f ca="1">+'Plan Exp(%GSDP)'!F30</f>
        <v>11754.85</v>
      </c>
      <c r="G30" s="146">
        <f ca="1">+'Plan Exp(%GSDP)'!G30</f>
        <v>14157.54</v>
      </c>
      <c r="H30" s="146">
        <f ca="1">+'Plan Exp(%GSDP)'!H30</f>
        <v>17336.82</v>
      </c>
      <c r="I30" s="146">
        <f ca="1">+'Plan Exp(%GSDP)'!I30</f>
        <v>22344.52</v>
      </c>
      <c r="J30" s="81">
        <v>4.0060909452076574</v>
      </c>
      <c r="K30" s="81">
        <v>4.0589937491258592</v>
      </c>
      <c r="L30" s="81">
        <v>4.1127064807914966</v>
      </c>
      <c r="M30" s="88">
        <v>4.1671904808928506</v>
      </c>
      <c r="N30" s="88">
        <v>4.2225047452348843</v>
      </c>
      <c r="O30" s="174">
        <v>4.2786072829813833</v>
      </c>
      <c r="P30" s="174">
        <v>4.3356013032884713</v>
      </c>
      <c r="Q30" s="146">
        <f t="shared" si="9"/>
        <v>1758.7918238423251</v>
      </c>
      <c r="R30" s="146">
        <f t="shared" si="10"/>
        <v>2200.7942244118517</v>
      </c>
      <c r="S30" s="146">
        <f t="shared" si="11"/>
        <v>2162.1333886897464</v>
      </c>
      <c r="T30" s="146">
        <f t="shared" si="12"/>
        <v>2820.8093807800788</v>
      </c>
      <c r="U30" s="146">
        <f t="shared" si="13"/>
        <v>3352.8772267164054</v>
      </c>
      <c r="V30" s="146">
        <f t="shared" si="14"/>
        <v>4051.9773967008027</v>
      </c>
      <c r="W30" s="146">
        <f t="shared" si="14"/>
        <v>5153.7303448663752</v>
      </c>
    </row>
    <row r="31" spans="1:23" s="20" customFormat="1" ht="17.25" customHeight="1">
      <c r="A31" s="3">
        <v>24</v>
      </c>
      <c r="B31" s="6" t="s">
        <v>36</v>
      </c>
      <c r="C31" s="146">
        <f ca="1">+'Plan Exp(%GSDP)'!C31</f>
        <v>3082.98</v>
      </c>
      <c r="D31" s="146">
        <f ca="1">+'Plan Exp(%GSDP)'!D31</f>
        <v>4025.13</v>
      </c>
      <c r="E31" s="146">
        <f ca="1">+'Plan Exp(%GSDP)'!E31</f>
        <v>3404.35</v>
      </c>
      <c r="F31" s="146">
        <f ca="1">+'Plan Exp(%GSDP)'!F31</f>
        <v>4486.72</v>
      </c>
      <c r="G31" s="146">
        <f ca="1">+'Plan Exp(%GSDP)'!G31</f>
        <v>3364.34</v>
      </c>
      <c r="H31" s="146">
        <f ca="1">+'Plan Exp(%GSDP)'!H31</f>
        <v>4799.7299999999996</v>
      </c>
      <c r="I31" s="146">
        <f ca="1">+'Plan Exp(%GSDP)'!I31</f>
        <v>11905.61</v>
      </c>
      <c r="J31" s="81">
        <v>2.7481976508707979</v>
      </c>
      <c r="K31" s="81">
        <v>2.7990056946578687</v>
      </c>
      <c r="L31" s="81">
        <v>2.8506916916107112</v>
      </c>
      <c r="M31" s="88">
        <v>2.9034089275962174</v>
      </c>
      <c r="N31" s="88">
        <v>2.9570854803507549</v>
      </c>
      <c r="O31" s="174">
        <v>2.9796181450769983</v>
      </c>
      <c r="P31" s="174">
        <v>3.0346866669487582</v>
      </c>
      <c r="Q31" s="146">
        <f t="shared" si="9"/>
        <v>1121.8188760998039</v>
      </c>
      <c r="R31" s="146">
        <f t="shared" si="10"/>
        <v>1438.0570956616093</v>
      </c>
      <c r="S31" s="146">
        <f t="shared" si="11"/>
        <v>1194.2189364141509</v>
      </c>
      <c r="T31" s="146">
        <f t="shared" si="12"/>
        <v>1545.3283061007303</v>
      </c>
      <c r="U31" s="146">
        <f t="shared" si="13"/>
        <v>1137.7215918698903</v>
      </c>
      <c r="V31" s="146">
        <f t="shared" si="14"/>
        <v>1610.8540646157082</v>
      </c>
      <c r="W31" s="146">
        <f t="shared" si="14"/>
        <v>3923.1760331851851</v>
      </c>
    </row>
    <row r="32" spans="1:23" ht="17.25" customHeight="1">
      <c r="A32" s="3">
        <v>25</v>
      </c>
      <c r="B32" s="6" t="s">
        <v>37</v>
      </c>
      <c r="C32" s="146">
        <f ca="1">+'Plan Exp(%GSDP)'!C32</f>
        <v>10943.62</v>
      </c>
      <c r="D32" s="146">
        <f ca="1">+'Plan Exp(%GSDP)'!D32</f>
        <v>12190.11</v>
      </c>
      <c r="E32" s="146">
        <f ca="1">+'Plan Exp(%GSDP)'!E32</f>
        <v>12568.73</v>
      </c>
      <c r="F32" s="146">
        <f ca="1">+'Plan Exp(%GSDP)'!F32</f>
        <v>14172.46</v>
      </c>
      <c r="G32" s="146">
        <f ca="1">+'Plan Exp(%GSDP)'!G32</f>
        <v>20569.5</v>
      </c>
      <c r="H32" s="146">
        <f ca="1">+'Plan Exp(%GSDP)'!H32</f>
        <v>27159.27</v>
      </c>
      <c r="I32" s="146">
        <f ca="1">+'Plan Exp(%GSDP)'!I32</f>
        <v>31516.26</v>
      </c>
      <c r="J32" s="81">
        <v>6.4077130200264554</v>
      </c>
      <c r="K32" s="81">
        <v>6.5200128898541463</v>
      </c>
      <c r="L32" s="81">
        <v>6.6310102684541343</v>
      </c>
      <c r="M32" s="88">
        <v>6.7401098646571338</v>
      </c>
      <c r="N32" s="88">
        <v>6.8468084212054663</v>
      </c>
      <c r="O32" s="174">
        <v>6.9519011597612277</v>
      </c>
      <c r="P32" s="174">
        <v>7.055898520704841</v>
      </c>
      <c r="Q32" s="146">
        <f t="shared" si="9"/>
        <v>1707.882354561943</v>
      </c>
      <c r="R32" s="146">
        <f t="shared" si="10"/>
        <v>1869.6450767711128</v>
      </c>
      <c r="S32" s="146">
        <f t="shared" si="11"/>
        <v>1895.4472231469047</v>
      </c>
      <c r="T32" s="146">
        <f t="shared" si="12"/>
        <v>2102.704597489665</v>
      </c>
      <c r="U32" s="146">
        <f t="shared" si="13"/>
        <v>3004.246465593159</v>
      </c>
      <c r="V32" s="146">
        <f t="shared" si="14"/>
        <v>3906.7399515405109</v>
      </c>
      <c r="W32" s="146">
        <f t="shared" si="14"/>
        <v>4466.6543754163458</v>
      </c>
    </row>
    <row r="33" spans="1:23" ht="17.25" customHeight="1">
      <c r="A33" s="3">
        <v>26</v>
      </c>
      <c r="B33" s="6" t="s">
        <v>38</v>
      </c>
      <c r="C33" s="146">
        <f ca="1">+'Plan Exp(%GSDP)'!C33</f>
        <v>15855.11</v>
      </c>
      <c r="D33" s="146">
        <f ca="1">+'Plan Exp(%GSDP)'!D33</f>
        <v>20519.2</v>
      </c>
      <c r="E33" s="146">
        <f ca="1">+'Plan Exp(%GSDP)'!E33</f>
        <v>21831.279999999999</v>
      </c>
      <c r="F33" s="146">
        <f ca="1">+'Plan Exp(%GSDP)'!F33</f>
        <v>26777.87</v>
      </c>
      <c r="G33" s="146">
        <f ca="1">+'Plan Exp(%GSDP)'!G33</f>
        <v>34129.870000000003</v>
      </c>
      <c r="H33" s="146">
        <f ca="1">+'Plan Exp(%GSDP)'!H33</f>
        <v>36721.269999999997</v>
      </c>
      <c r="I33" s="146">
        <f ca="1">+'Plan Exp(%GSDP)'!I33</f>
        <v>38805.14</v>
      </c>
      <c r="J33" s="81">
        <v>6.5918957988249023</v>
      </c>
      <c r="K33" s="81">
        <v>6.6386001847180429</v>
      </c>
      <c r="L33" s="81">
        <v>6.6836068388328007</v>
      </c>
      <c r="M33" s="88">
        <v>6.7272975787886233</v>
      </c>
      <c r="N33" s="88">
        <v>6.7698051233022598</v>
      </c>
      <c r="O33" s="174">
        <v>6.810704266335974</v>
      </c>
      <c r="P33" s="174">
        <v>6.8500770045668604</v>
      </c>
      <c r="Q33" s="146">
        <f t="shared" si="9"/>
        <v>2405.2428138846485</v>
      </c>
      <c r="R33" s="146">
        <f t="shared" si="10"/>
        <v>3090.892572086942</v>
      </c>
      <c r="S33" s="146">
        <f t="shared" si="11"/>
        <v>3266.3920135392837</v>
      </c>
      <c r="T33" s="146">
        <f t="shared" si="12"/>
        <v>3980.479484723769</v>
      </c>
      <c r="U33" s="146">
        <f t="shared" si="13"/>
        <v>5041.4848549365197</v>
      </c>
      <c r="V33" s="146">
        <f t="shared" si="14"/>
        <v>5391.6993843803066</v>
      </c>
      <c r="W33" s="146">
        <f t="shared" si="14"/>
        <v>5664.9202591633784</v>
      </c>
    </row>
    <row r="34" spans="1:23" ht="17.25" customHeight="1">
      <c r="A34" s="3">
        <v>27</v>
      </c>
      <c r="B34" s="6" t="s">
        <v>39</v>
      </c>
      <c r="C34" s="146">
        <f ca="1">+'Plan Exp(%GSDP)'!C34</f>
        <v>25831.200000000001</v>
      </c>
      <c r="D34" s="146">
        <f ca="1">+'Plan Exp(%GSDP)'!D34</f>
        <v>35769.15</v>
      </c>
      <c r="E34" s="146">
        <f ca="1">+'Plan Exp(%GSDP)'!E34</f>
        <v>35304.89</v>
      </c>
      <c r="F34" s="146">
        <f ca="1">+'Plan Exp(%GSDP)'!F34</f>
        <v>41237.89</v>
      </c>
      <c r="G34" s="146">
        <f ca="1">+'Plan Exp(%GSDP)'!G34</f>
        <v>43765.49</v>
      </c>
      <c r="H34" s="146">
        <f ca="1">+'Plan Exp(%GSDP)'!H34</f>
        <v>56782.39</v>
      </c>
      <c r="I34" s="146">
        <f ca="1">+'Plan Exp(%GSDP)'!I34</f>
        <v>67016.53</v>
      </c>
      <c r="J34" s="81">
        <v>18.881224177143011</v>
      </c>
      <c r="K34" s="81">
        <v>19.232480903204277</v>
      </c>
      <c r="L34" s="81">
        <v>19.584080567283397</v>
      </c>
      <c r="M34" s="88">
        <v>19.934689884595507</v>
      </c>
      <c r="N34" s="88">
        <v>20.282994292485906</v>
      </c>
      <c r="O34" s="174">
        <v>20.631198792881232</v>
      </c>
      <c r="P34" s="174">
        <v>20.980204789873504</v>
      </c>
      <c r="Q34" s="146">
        <f t="shared" si="9"/>
        <v>1368.0892593431734</v>
      </c>
      <c r="R34" s="146">
        <f t="shared" si="10"/>
        <v>1859.8302621499336</v>
      </c>
      <c r="S34" s="146">
        <f t="shared" si="11"/>
        <v>1802.7341073636785</v>
      </c>
      <c r="T34" s="146">
        <f t="shared" si="12"/>
        <v>2068.6496874910754</v>
      </c>
      <c r="U34" s="146">
        <f t="shared" si="13"/>
        <v>2157.7430515874807</v>
      </c>
      <c r="V34" s="146">
        <f t="shared" si="14"/>
        <v>2752.2583912861469</v>
      </c>
      <c r="W34" s="146">
        <f t="shared" si="14"/>
        <v>3194.2743491401384</v>
      </c>
    </row>
    <row r="35" spans="1:23" ht="17.25" customHeight="1">
      <c r="A35" s="3">
        <v>28</v>
      </c>
      <c r="B35" s="6" t="s">
        <v>40</v>
      </c>
      <c r="C35" s="146">
        <f ca="1">+'Plan Exp(%GSDP)'!C35</f>
        <v>10435.19</v>
      </c>
      <c r="D35" s="146">
        <f ca="1">+'Plan Exp(%GSDP)'!D35</f>
        <v>12469.51</v>
      </c>
      <c r="E35" s="146">
        <f ca="1">+'Plan Exp(%GSDP)'!E35</f>
        <v>14161.31</v>
      </c>
      <c r="F35" s="146">
        <f ca="1">+'Plan Exp(%GSDP)'!F35</f>
        <v>14615.17</v>
      </c>
      <c r="G35" s="146">
        <f ca="1">+'Plan Exp(%GSDP)'!G35</f>
        <v>17213.52</v>
      </c>
      <c r="H35" s="146">
        <f ca="1">+'Plan Exp(%GSDP)'!H35</f>
        <v>22490.79</v>
      </c>
      <c r="I35" s="146">
        <f ca="1">+'Plan Exp(%GSDP)'!I35</f>
        <v>31929.93</v>
      </c>
      <c r="J35" s="81">
        <v>8.6659169385750943</v>
      </c>
      <c r="K35" s="81">
        <v>8.7505283624989438</v>
      </c>
      <c r="L35" s="81">
        <v>8.8334754745485995</v>
      </c>
      <c r="M35" s="88">
        <v>8.9158852788654883</v>
      </c>
      <c r="N35" s="88">
        <v>8.9987206199510172</v>
      </c>
      <c r="O35" s="174">
        <v>9.0801964517109539</v>
      </c>
      <c r="P35" s="174">
        <v>9.1594420448913123</v>
      </c>
      <c r="Q35" s="146">
        <f t="shared" si="9"/>
        <v>1204.1645533837554</v>
      </c>
      <c r="R35" s="146">
        <f t="shared" si="10"/>
        <v>1425.0008094870061</v>
      </c>
      <c r="S35" s="146">
        <f t="shared" si="11"/>
        <v>1603.1413729287178</v>
      </c>
      <c r="T35" s="146">
        <f t="shared" si="12"/>
        <v>1639.2281352749442</v>
      </c>
      <c r="U35" s="146">
        <f t="shared" si="13"/>
        <v>1912.88525635922</v>
      </c>
      <c r="V35" s="146">
        <f t="shared" si="14"/>
        <v>2476.9056616349012</v>
      </c>
      <c r="W35" s="146">
        <f t="shared" si="14"/>
        <v>3486.0125587899702</v>
      </c>
    </row>
    <row r="36" spans="1:23" s="75" customFormat="1" ht="17.25" customHeight="1">
      <c r="A36" s="72"/>
      <c r="B36" s="4" t="s">
        <v>190</v>
      </c>
      <c r="C36" s="147">
        <f t="shared" ref="C36:P36" si="15">SUM(C19:C35)</f>
        <v>202845.80000000005</v>
      </c>
      <c r="D36" s="147">
        <f t="shared" si="15"/>
        <v>252523.22</v>
      </c>
      <c r="E36" s="147">
        <f ca="1">SUM(E19:E35)</f>
        <v>275920.44</v>
      </c>
      <c r="F36" s="147">
        <f ca="1">SUM(F19:F35)</f>
        <v>319518.43</v>
      </c>
      <c r="G36" s="147">
        <f ca="1">SUM(G19:G35)</f>
        <v>377556.06000000006</v>
      </c>
      <c r="H36" s="147">
        <f ca="1">SUM(H19:H35)</f>
        <v>461175.42000000004</v>
      </c>
      <c r="I36" s="147">
        <f ca="1">SUM(I19:I35)</f>
        <v>646576.81000000006</v>
      </c>
      <c r="J36" s="82">
        <f t="shared" si="15"/>
        <v>105.01751907192455</v>
      </c>
      <c r="K36" s="82">
        <f t="shared" si="15"/>
        <v>106.52470671263519</v>
      </c>
      <c r="L36" s="82">
        <f t="shared" si="15"/>
        <v>108.01033818172476</v>
      </c>
      <c r="M36" s="87">
        <f t="shared" si="15"/>
        <v>109.49270544510455</v>
      </c>
      <c r="N36" s="87">
        <f t="shared" si="15"/>
        <v>110.96051523909952</v>
      </c>
      <c r="O36" s="175">
        <f t="shared" si="15"/>
        <v>112.38358865312418</v>
      </c>
      <c r="P36" s="175">
        <f t="shared" si="15"/>
        <v>113.83182197625416</v>
      </c>
      <c r="Q36" s="147">
        <f t="shared" si="9"/>
        <v>1931.5424873165659</v>
      </c>
      <c r="R36" s="147">
        <f t="shared" si="10"/>
        <v>2370.5601056590144</v>
      </c>
      <c r="S36" s="147">
        <f>+E36/L36</f>
        <v>2554.5743550563707</v>
      </c>
      <c r="T36" s="147">
        <f>+F36/M36</f>
        <v>2918.1709292971514</v>
      </c>
      <c r="U36" s="147">
        <f>+G36/N36</f>
        <v>3402.6163197461378</v>
      </c>
      <c r="V36" s="147">
        <f>+G36/N36</f>
        <v>3402.6163197461378</v>
      </c>
      <c r="W36" s="147">
        <f>+H36/O36</f>
        <v>4103.5833214352488</v>
      </c>
    </row>
    <row r="37" spans="1:23" ht="17.25" customHeight="1">
      <c r="A37" s="3"/>
      <c r="B37" s="4" t="s">
        <v>42</v>
      </c>
      <c r="C37" s="147"/>
      <c r="D37" s="147"/>
      <c r="E37" s="147"/>
      <c r="F37" s="147"/>
      <c r="G37" s="147"/>
      <c r="H37" s="147"/>
      <c r="I37" s="147"/>
      <c r="J37" s="82"/>
      <c r="K37" s="82"/>
      <c r="L37" s="82"/>
      <c r="M37" s="87"/>
      <c r="N37" s="87"/>
      <c r="O37" s="175"/>
      <c r="P37" s="175"/>
      <c r="Q37" s="146"/>
      <c r="R37" s="146"/>
      <c r="S37" s="143"/>
      <c r="T37" s="143"/>
      <c r="U37" s="143"/>
      <c r="V37" s="143"/>
      <c r="W37" s="143"/>
    </row>
    <row r="38" spans="1:23" ht="17.25" customHeight="1">
      <c r="A38" s="3">
        <v>29</v>
      </c>
      <c r="B38" s="6" t="s">
        <v>43</v>
      </c>
      <c r="C38" s="146">
        <f ca="1">+'Plan Exp(%GSDP)'!C38</f>
        <v>8785.0400000000009</v>
      </c>
      <c r="D38" s="146">
        <f ca="1">+'Plan Exp(%GSDP)'!D38</f>
        <v>9635.35</v>
      </c>
      <c r="E38" s="146">
        <f ca="1">+'Plan Exp(%GSDP)'!E38</f>
        <v>11128.24</v>
      </c>
      <c r="F38" s="146">
        <f ca="1">+'Plan Exp(%GSDP)'!F38</f>
        <v>10544.26</v>
      </c>
      <c r="G38" s="146">
        <f ca="1">+'Plan Exp(%GSDP)'!G38</f>
        <v>13700.3</v>
      </c>
      <c r="H38" s="146">
        <f ca="1">+'Plan Exp(%GSDP)'!H38</f>
        <v>13404.49</v>
      </c>
      <c r="I38" s="146">
        <f ca="1">+'Plan Exp(%GSDP)'!I38</f>
        <v>16450</v>
      </c>
      <c r="J38" s="81">
        <v>1.5699016180006511</v>
      </c>
      <c r="K38" s="81">
        <v>1.6001109560113103</v>
      </c>
      <c r="L38" s="81">
        <v>1.6307965950959218</v>
      </c>
      <c r="M38" s="88">
        <v>1.6622039702609404</v>
      </c>
      <c r="N38" s="88">
        <v>1.6941030542356021</v>
      </c>
      <c r="O38" s="174">
        <v>1.7266014840046318</v>
      </c>
      <c r="P38" s="174">
        <v>1.7596997895253639</v>
      </c>
      <c r="Q38" s="146">
        <f t="shared" ref="Q38:W38" si="16">+C38/J38</f>
        <v>5595.9175398444349</v>
      </c>
      <c r="R38" s="146">
        <f t="shared" si="16"/>
        <v>6021.6761617698048</v>
      </c>
      <c r="S38" s="146">
        <f t="shared" si="16"/>
        <v>6823.8062511685885</v>
      </c>
      <c r="T38" s="146">
        <f t="shared" si="16"/>
        <v>6343.5415801255213</v>
      </c>
      <c r="U38" s="146">
        <f t="shared" si="16"/>
        <v>8087.0522992957622</v>
      </c>
      <c r="V38" s="146">
        <f t="shared" si="16"/>
        <v>7763.5112237422591</v>
      </c>
      <c r="W38" s="146">
        <f t="shared" si="16"/>
        <v>9348.1854677251431</v>
      </c>
    </row>
    <row r="39" spans="1:23" ht="17.25" customHeight="1">
      <c r="A39" s="3">
        <v>30</v>
      </c>
      <c r="B39" s="6" t="s">
        <v>44</v>
      </c>
      <c r="C39" s="146">
        <f ca="1">+'Plan Exp(%GSDP)'!C39</f>
        <v>1112</v>
      </c>
      <c r="D39" s="146">
        <f ca="1">+'Plan Exp(%GSDP)'!D39</f>
        <v>1077</v>
      </c>
      <c r="E39" s="146">
        <f ca="1">+'Plan Exp(%GSDP)'!E39</f>
        <v>1461</v>
      </c>
      <c r="F39" s="146">
        <f ca="1">+'Plan Exp(%GSDP)'!F39</f>
        <v>1590</v>
      </c>
      <c r="G39" s="146">
        <f ca="1">+'Plan Exp(%GSDP)'!G39</f>
        <v>1648</v>
      </c>
      <c r="H39" s="146">
        <f ca="1">+'Plan Exp(%GSDP)'!H39</f>
        <v>1272.3900000000001</v>
      </c>
      <c r="I39" s="146">
        <f ca="1">+'Plan Exp(%GSDP)'!I39</f>
        <v>1807.71</v>
      </c>
      <c r="J39" s="81">
        <v>0.11022762496462311</v>
      </c>
      <c r="K39" s="81">
        <v>0.11232441429400046</v>
      </c>
      <c r="L39" s="81">
        <v>0.1144435267396242</v>
      </c>
      <c r="M39" s="88">
        <v>0.11660994142789299</v>
      </c>
      <c r="N39" s="88">
        <v>0.12635581007281554</v>
      </c>
      <c r="O39" s="174">
        <v>0.1295269620232524</v>
      </c>
      <c r="P39" s="174">
        <v>0.13277007035308042</v>
      </c>
      <c r="Q39" s="146">
        <f t="shared" ref="Q39:S40" si="17">+C39/J39</f>
        <v>10088.215185230469</v>
      </c>
      <c r="R39" s="146">
        <f t="shared" si="17"/>
        <v>9588.2983834755269</v>
      </c>
      <c r="S39" s="146">
        <f t="shared" si="17"/>
        <v>12766.121786197564</v>
      </c>
      <c r="T39" s="146">
        <f>+F39/M39</f>
        <v>13635.201086034278</v>
      </c>
      <c r="U39" s="146">
        <f>+G39/N39</f>
        <v>13042.534403841824</v>
      </c>
      <c r="V39" s="146">
        <f>+H39/O39</f>
        <v>9823.3601724680575</v>
      </c>
      <c r="W39" s="146">
        <f>+I39/P39</f>
        <v>13615.342638538108</v>
      </c>
    </row>
    <row r="40" spans="1:23" s="75" customFormat="1" ht="17.25" customHeight="1">
      <c r="A40" s="72"/>
      <c r="B40" s="4" t="s">
        <v>79</v>
      </c>
      <c r="C40" s="147">
        <f t="shared" ref="C40:L40" si="18">SUM(C38:C39)</f>
        <v>9897.0400000000009</v>
      </c>
      <c r="D40" s="147">
        <f t="shared" si="18"/>
        <v>10712.35</v>
      </c>
      <c r="E40" s="147">
        <f>SUM(E38:E39)</f>
        <v>12589.24</v>
      </c>
      <c r="F40" s="147">
        <f>SUM(F38:F39)</f>
        <v>12134.26</v>
      </c>
      <c r="G40" s="147">
        <f>SUM(G38:G39)</f>
        <v>15348.3</v>
      </c>
      <c r="H40" s="147">
        <f>SUM(H38:H39)</f>
        <v>14676.88</v>
      </c>
      <c r="I40" s="147">
        <f>SUM(I38:I39)</f>
        <v>18257.71</v>
      </c>
      <c r="J40" s="82">
        <f t="shared" si="18"/>
        <v>1.6801292429652741</v>
      </c>
      <c r="K40" s="82">
        <f t="shared" si="18"/>
        <v>1.7124353703053108</v>
      </c>
      <c r="L40" s="82">
        <f t="shared" si="18"/>
        <v>1.745240121835546</v>
      </c>
      <c r="M40" s="87">
        <f>SUM(M38:M39)</f>
        <v>1.7788139116888333</v>
      </c>
      <c r="N40" s="87">
        <f>SUM(N38:N39)</f>
        <v>1.8204588643084176</v>
      </c>
      <c r="O40" s="175">
        <f>SUM(O38:O39)</f>
        <v>1.8561284460278842</v>
      </c>
      <c r="P40" s="175">
        <f>SUM(P38:P39)</f>
        <v>1.8924698598784442</v>
      </c>
      <c r="Q40" s="147">
        <f t="shared" si="17"/>
        <v>5890.6420690188288</v>
      </c>
      <c r="R40" s="147">
        <f t="shared" si="17"/>
        <v>6255.6229483218931</v>
      </c>
      <c r="S40" s="147">
        <f t="shared" si="17"/>
        <v>7213.4715690350622</v>
      </c>
      <c r="T40" s="147">
        <f>+F40/M40</f>
        <v>6821.5454805385161</v>
      </c>
      <c r="U40" s="147">
        <f>+G40/N40</f>
        <v>8431.0062154745447</v>
      </c>
      <c r="V40" s="147">
        <f>+G40/N40</f>
        <v>8431.0062154745447</v>
      </c>
      <c r="W40" s="147">
        <f>+H40/O40</f>
        <v>7907.2544959959696</v>
      </c>
    </row>
    <row r="41" spans="1:23" s="75" customFormat="1" ht="7.5" customHeight="1">
      <c r="A41" s="72"/>
      <c r="B41" s="4"/>
      <c r="C41" s="147"/>
      <c r="D41" s="147"/>
      <c r="E41" s="147"/>
      <c r="F41" s="147"/>
      <c r="G41" s="147"/>
      <c r="H41" s="147"/>
      <c r="I41" s="147"/>
      <c r="J41" s="82"/>
      <c r="K41" s="82"/>
      <c r="L41" s="82"/>
      <c r="M41" s="87"/>
      <c r="N41" s="87"/>
      <c r="O41" s="175"/>
      <c r="P41" s="175"/>
      <c r="Q41" s="146"/>
      <c r="R41" s="146"/>
      <c r="S41" s="146"/>
      <c r="T41" s="146"/>
      <c r="U41" s="146"/>
      <c r="V41" s="146"/>
      <c r="W41" s="146"/>
    </row>
    <row r="42" spans="1:23" s="75" customFormat="1">
      <c r="A42" s="72"/>
      <c r="B42" s="4" t="s">
        <v>46</v>
      </c>
      <c r="C42" s="147">
        <f t="shared" ref="C42:L42" si="19">+C17+C36+C40</f>
        <v>236194.28000000006</v>
      </c>
      <c r="D42" s="147">
        <f t="shared" si="19"/>
        <v>292212.82999999996</v>
      </c>
      <c r="E42" s="147">
        <f>+E17+E36+E40</f>
        <v>320048.19</v>
      </c>
      <c r="F42" s="147">
        <f>+F17+F36+F40</f>
        <v>367580.94</v>
      </c>
      <c r="G42" s="147">
        <f>+G17+G36+G40</f>
        <v>432266.47000000003</v>
      </c>
      <c r="H42" s="147">
        <f>+H17+H36+H40</f>
        <v>519089.53</v>
      </c>
      <c r="I42" s="147">
        <f>+I17+I36+I40</f>
        <v>724368.4</v>
      </c>
      <c r="J42" s="82">
        <f t="shared" si="19"/>
        <v>113.68658442493512</v>
      </c>
      <c r="K42" s="82">
        <f t="shared" si="19"/>
        <v>115.32287849537649</v>
      </c>
      <c r="L42" s="82">
        <f t="shared" si="19"/>
        <v>116.9375860573638</v>
      </c>
      <c r="M42" s="87">
        <f>+M17+M36+M40</f>
        <v>118.54834727360131</v>
      </c>
      <c r="N42" s="87">
        <f>+N17+N36+N40</f>
        <v>120.16318842535682</v>
      </c>
      <c r="O42" s="175">
        <f>+O17+O36+O40</f>
        <v>121.72085102981136</v>
      </c>
      <c r="P42" s="175">
        <f>+P17+P36+P40</f>
        <v>123.30432178669072</v>
      </c>
      <c r="Q42" s="147">
        <f>+C42/J42</f>
        <v>2077.5914871112536</v>
      </c>
      <c r="R42" s="147">
        <f>+D42/K42</f>
        <v>2533.8669465462167</v>
      </c>
      <c r="S42" s="147">
        <f>+E42/L42</f>
        <v>2736.9146293391091</v>
      </c>
      <c r="T42" s="147">
        <f>+F42/M42</f>
        <v>3100.6838007758038</v>
      </c>
      <c r="U42" s="147">
        <f>+G42/N42</f>
        <v>3597.3285634686372</v>
      </c>
      <c r="V42" s="147">
        <f>+G42/N42</f>
        <v>3597.3285634686372</v>
      </c>
      <c r="W42" s="147">
        <f>+H42/O42</f>
        <v>4264.5900485272387</v>
      </c>
    </row>
    <row r="43" spans="1:23" ht="15">
      <c r="A43" s="83"/>
      <c r="B43" s="628" t="s">
        <v>187</v>
      </c>
      <c r="C43" s="628"/>
      <c r="D43" s="628"/>
      <c r="E43" s="628"/>
      <c r="F43" s="628"/>
      <c r="G43" s="628"/>
      <c r="H43" s="628"/>
      <c r="I43" s="628"/>
      <c r="J43" s="628"/>
      <c r="K43" s="27"/>
      <c r="L43" s="27"/>
      <c r="M43" s="23"/>
      <c r="N43" s="23"/>
      <c r="O43" s="176"/>
      <c r="P43" s="176"/>
      <c r="Q43" s="27"/>
      <c r="R43" s="27"/>
    </row>
  </sheetData>
  <mergeCells count="8">
    <mergeCell ref="A1:V1"/>
    <mergeCell ref="B2:B3"/>
    <mergeCell ref="A2:A3"/>
    <mergeCell ref="C2:I2"/>
    <mergeCell ref="B43:J43"/>
    <mergeCell ref="J4:P4"/>
    <mergeCell ref="J2:P2"/>
    <mergeCell ref="Q2:W2"/>
  </mergeCells>
  <phoneticPr fontId="42" type="noConversion"/>
  <printOptions horizontalCentered="1"/>
  <pageMargins left="0.35433070866141736" right="0.15748031496062992" top="0.78740157480314965" bottom="0.39370078740157483" header="0" footer="0"/>
  <pageSetup paperSize="9" scale="60" orientation="landscape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W4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5" sqref="B5"/>
    </sheetView>
  </sheetViews>
  <sheetFormatPr defaultRowHeight="12.75"/>
  <cols>
    <col min="1" max="1" width="5.5703125" style="25" customWidth="1"/>
    <col min="2" max="2" width="37" customWidth="1"/>
    <col min="3" max="3" width="11.28515625" bestFit="1" customWidth="1"/>
    <col min="4" max="4" width="13.140625" customWidth="1"/>
    <col min="5" max="5" width="11.5703125" style="14" bestFit="1" customWidth="1"/>
    <col min="6" max="7" width="11.5703125" style="118" customWidth="1"/>
    <col min="8" max="8" width="12" style="118" customWidth="1"/>
    <col min="9" max="9" width="12" style="14" customWidth="1"/>
    <col min="10" max="10" width="10.85546875" customWidth="1"/>
    <col min="11" max="11" width="12.7109375" customWidth="1"/>
    <col min="12" max="13" width="11.5703125" bestFit="1" customWidth="1"/>
    <col min="14" max="14" width="11.5703125" customWidth="1"/>
    <col min="15" max="15" width="11.85546875" customWidth="1"/>
    <col min="16" max="16" width="10.85546875" style="177" customWidth="1"/>
    <col min="17" max="17" width="12.140625" style="14" customWidth="1"/>
    <col min="18" max="18" width="12.5703125" style="14" customWidth="1"/>
    <col min="19" max="19" width="11.5703125" style="14" bestFit="1" customWidth="1"/>
    <col min="20" max="21" width="11.5703125" style="14" customWidth="1"/>
    <col min="22" max="22" width="10.42578125" style="14" customWidth="1"/>
    <col min="23" max="23" width="9.140625" style="14"/>
  </cols>
  <sheetData>
    <row r="1" spans="1:23" ht="21.75" customHeight="1">
      <c r="A1" s="656" t="s">
        <v>106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3"/>
      <c r="R1" s="653"/>
      <c r="S1" s="653"/>
      <c r="T1" s="653"/>
      <c r="U1" s="653"/>
      <c r="V1" s="653"/>
    </row>
    <row r="2" spans="1:23" ht="46.5" customHeight="1">
      <c r="A2" s="648" t="s">
        <v>71</v>
      </c>
      <c r="B2" s="666" t="s">
        <v>120</v>
      </c>
      <c r="C2" s="638" t="s">
        <v>193</v>
      </c>
      <c r="D2" s="639"/>
      <c r="E2" s="639"/>
      <c r="F2" s="639"/>
      <c r="G2" s="639"/>
      <c r="H2" s="639"/>
      <c r="I2" s="640"/>
      <c r="J2" s="625" t="s">
        <v>185</v>
      </c>
      <c r="K2" s="625"/>
      <c r="L2" s="625"/>
      <c r="M2" s="625"/>
      <c r="N2" s="625"/>
      <c r="O2" s="625"/>
      <c r="P2" s="625"/>
      <c r="Q2" s="614" t="s">
        <v>80</v>
      </c>
      <c r="R2" s="614"/>
      <c r="S2" s="614"/>
      <c r="T2" s="614"/>
      <c r="U2" s="614"/>
      <c r="V2" s="614"/>
      <c r="W2" s="614"/>
    </row>
    <row r="3" spans="1:23" s="71" customFormat="1" ht="28.5" customHeight="1">
      <c r="A3" s="649"/>
      <c r="B3" s="667"/>
      <c r="C3" s="141" t="s">
        <v>48</v>
      </c>
      <c r="D3" s="141" t="s">
        <v>49</v>
      </c>
      <c r="E3" s="141" t="s">
        <v>5</v>
      </c>
      <c r="F3" s="141" t="s">
        <v>6</v>
      </c>
      <c r="G3" s="141" t="s">
        <v>7</v>
      </c>
      <c r="H3" s="141" t="s">
        <v>122</v>
      </c>
      <c r="I3" s="141" t="s">
        <v>139</v>
      </c>
      <c r="J3" s="70" t="s">
        <v>48</v>
      </c>
      <c r="K3" s="70" t="s">
        <v>49</v>
      </c>
      <c r="L3" s="76" t="s">
        <v>5</v>
      </c>
      <c r="M3" s="76" t="s">
        <v>6</v>
      </c>
      <c r="N3" s="76" t="s">
        <v>7</v>
      </c>
      <c r="O3" s="76" t="s">
        <v>122</v>
      </c>
      <c r="P3" s="76" t="s">
        <v>139</v>
      </c>
      <c r="Q3" s="141" t="s">
        <v>48</v>
      </c>
      <c r="R3" s="141" t="s">
        <v>49</v>
      </c>
      <c r="S3" s="141" t="s">
        <v>5</v>
      </c>
      <c r="T3" s="141" t="s">
        <v>6</v>
      </c>
      <c r="U3" s="141" t="s">
        <v>7</v>
      </c>
      <c r="V3" s="141" t="s">
        <v>122</v>
      </c>
      <c r="W3" s="141" t="s">
        <v>139</v>
      </c>
    </row>
    <row r="4" spans="1:23" ht="19.5" customHeight="1">
      <c r="A4" s="103"/>
      <c r="B4" s="122">
        <v>41834</v>
      </c>
      <c r="C4" s="142" t="s">
        <v>73</v>
      </c>
      <c r="D4" s="142" t="s">
        <v>73</v>
      </c>
      <c r="E4" s="142" t="s">
        <v>8</v>
      </c>
      <c r="F4" s="142" t="s">
        <v>8</v>
      </c>
      <c r="G4" s="142" t="s">
        <v>8</v>
      </c>
      <c r="H4" s="142" t="s">
        <v>56</v>
      </c>
      <c r="I4" s="142" t="s">
        <v>10</v>
      </c>
      <c r="J4" s="72" t="s">
        <v>73</v>
      </c>
      <c r="K4" s="72" t="s">
        <v>73</v>
      </c>
      <c r="L4" s="15" t="s">
        <v>73</v>
      </c>
      <c r="M4" s="15" t="s">
        <v>73</v>
      </c>
      <c r="N4" s="15" t="s">
        <v>73</v>
      </c>
      <c r="O4" s="15" t="s">
        <v>56</v>
      </c>
      <c r="P4" s="15" t="s">
        <v>10</v>
      </c>
      <c r="Q4" s="142" t="s">
        <v>73</v>
      </c>
      <c r="R4" s="142" t="s">
        <v>73</v>
      </c>
      <c r="S4" s="142" t="s">
        <v>73</v>
      </c>
      <c r="T4" s="142" t="s">
        <v>73</v>
      </c>
      <c r="U4" s="142" t="s">
        <v>73</v>
      </c>
      <c r="V4" s="142" t="s">
        <v>56</v>
      </c>
      <c r="W4" s="142" t="s">
        <v>10</v>
      </c>
    </row>
    <row r="5" spans="1:23" ht="21" customHeight="1">
      <c r="A5" s="3"/>
      <c r="B5" s="4" t="s">
        <v>11</v>
      </c>
      <c r="C5" s="142"/>
      <c r="D5" s="142"/>
      <c r="E5" s="142"/>
      <c r="F5" s="142"/>
      <c r="G5" s="142"/>
      <c r="H5" s="142"/>
      <c r="I5" s="142"/>
      <c r="J5" s="72"/>
      <c r="K5" s="72"/>
      <c r="L5" s="15"/>
      <c r="M5" s="15"/>
      <c r="N5" s="15"/>
      <c r="O5" s="15"/>
      <c r="P5" s="173"/>
      <c r="Q5" s="142"/>
      <c r="R5" s="142"/>
      <c r="S5" s="143"/>
      <c r="T5" s="143"/>
      <c r="U5" s="143"/>
      <c r="V5" s="143"/>
      <c r="W5" s="143"/>
    </row>
    <row r="6" spans="1:23" ht="21" customHeight="1">
      <c r="A6" s="3">
        <v>1</v>
      </c>
      <c r="B6" s="6" t="s">
        <v>12</v>
      </c>
      <c r="C6" s="125">
        <v>1568.49</v>
      </c>
      <c r="D6" s="125">
        <v>1893.07</v>
      </c>
      <c r="E6" s="125">
        <v>2588.52</v>
      </c>
      <c r="F6" s="125">
        <v>2555.91</v>
      </c>
      <c r="G6" s="125">
        <v>2862.96</v>
      </c>
      <c r="H6" s="125">
        <v>3202.67</v>
      </c>
      <c r="I6" s="125">
        <v>3140.31</v>
      </c>
      <c r="J6" s="73">
        <f ca="1">+'Revenue Deficit (%GSDP)'!J6</f>
        <v>4810</v>
      </c>
      <c r="K6" s="73">
        <f ca="1">+'Revenue Deficit (%GSDP)'!K6</f>
        <v>5687</v>
      </c>
      <c r="L6" s="73">
        <f ca="1">+'Revenue Deficit (%GSDP)'!L6</f>
        <v>7474</v>
      </c>
      <c r="M6" s="73">
        <f ca="1">+'Revenue Deficit (%GSDP)'!M6</f>
        <v>9013</v>
      </c>
      <c r="N6" s="73">
        <f ca="1">+'Revenue Deficit (%GSDP)'!N6</f>
        <v>10619</v>
      </c>
      <c r="O6" s="73">
        <f ca="1">+'Revenue Deficit (%GSDP)'!O6</f>
        <v>12091</v>
      </c>
      <c r="P6" s="55">
        <f ca="1">+'Revenue Deficit (%GSDP)'!P6</f>
        <v>13382</v>
      </c>
      <c r="Q6" s="125">
        <f t="shared" ref="Q6:W6" si="0">+C6/J6*100</f>
        <v>32.608939708939708</v>
      </c>
      <c r="R6" s="125">
        <f t="shared" si="0"/>
        <v>33.287673641638825</v>
      </c>
      <c r="S6" s="125">
        <f t="shared" si="0"/>
        <v>34.633663366336634</v>
      </c>
      <c r="T6" s="125">
        <f t="shared" si="0"/>
        <v>28.358038388993673</v>
      </c>
      <c r="U6" s="125">
        <f t="shared" si="0"/>
        <v>26.960730765608815</v>
      </c>
      <c r="V6" s="125">
        <f t="shared" si="0"/>
        <v>26.48804896203788</v>
      </c>
      <c r="W6" s="125">
        <f t="shared" si="0"/>
        <v>23.466671648483036</v>
      </c>
    </row>
    <row r="7" spans="1:23" ht="21" customHeight="1">
      <c r="A7" s="3">
        <v>2</v>
      </c>
      <c r="B7" s="6" t="s">
        <v>13</v>
      </c>
      <c r="C7" s="125">
        <v>10894.07</v>
      </c>
      <c r="D7" s="125">
        <v>11250.93</v>
      </c>
      <c r="E7" s="125">
        <v>15182.8</v>
      </c>
      <c r="F7" s="125">
        <v>22779.57</v>
      </c>
      <c r="G7" s="125">
        <v>22574.76</v>
      </c>
      <c r="H7" s="125">
        <v>24515.759999999998</v>
      </c>
      <c r="I7" s="125">
        <v>29738.62</v>
      </c>
      <c r="J7" s="73">
        <f ca="1">+'Revenue Deficit (%GSDP)'!J7</f>
        <v>71076</v>
      </c>
      <c r="K7" s="73">
        <f ca="1">+'Revenue Deficit (%GSDP)'!K7</f>
        <v>81074</v>
      </c>
      <c r="L7" s="73">
        <f ca="1">+'Revenue Deficit (%GSDP)'!L7</f>
        <v>95975</v>
      </c>
      <c r="M7" s="73">
        <f ca="1">+'Revenue Deficit (%GSDP)'!M7</f>
        <v>112688</v>
      </c>
      <c r="N7" s="73">
        <f ca="1">+'Revenue Deficit (%GSDP)'!N7</f>
        <v>125820</v>
      </c>
      <c r="O7" s="73">
        <f ca="1">+'Revenue Deficit (%GSDP)'!O7</f>
        <v>141621</v>
      </c>
      <c r="P7" s="55">
        <f ca="1">+'Revenue Deficit (%GSDP)'!P7</f>
        <v>162652</v>
      </c>
      <c r="Q7" s="125">
        <f t="shared" ref="Q7:Q17" si="1">+C7/J7*100</f>
        <v>15.327353818447859</v>
      </c>
      <c r="R7" s="125">
        <f t="shared" ref="R7:R17" si="2">+D7/K7*100</f>
        <v>13.877358956015492</v>
      </c>
      <c r="S7" s="125">
        <f t="shared" ref="S7:S15" si="3">+E7/L7*100</f>
        <v>15.819536337587914</v>
      </c>
      <c r="T7" s="125">
        <f t="shared" ref="T7:T16" si="4">+F7/M7*100</f>
        <v>20.214725614084909</v>
      </c>
      <c r="U7" s="125">
        <f t="shared" ref="U7:U16" si="5">+G7/N7*100</f>
        <v>17.942107773009059</v>
      </c>
      <c r="V7" s="125">
        <f t="shared" ref="V7:W16" si="6">+H7/O7*100</f>
        <v>17.310822547503545</v>
      </c>
      <c r="W7" s="125">
        <f t="shared" si="6"/>
        <v>18.28358704473354</v>
      </c>
    </row>
    <row r="8" spans="1:23" ht="21" customHeight="1">
      <c r="A8" s="3">
        <v>3</v>
      </c>
      <c r="B8" s="6" t="s">
        <v>14</v>
      </c>
      <c r="C8" s="125">
        <v>7194.53</v>
      </c>
      <c r="D8" s="125">
        <v>8723.67</v>
      </c>
      <c r="E8" s="125">
        <v>9964.66</v>
      </c>
      <c r="F8" s="125">
        <v>12313.65</v>
      </c>
      <c r="G8" s="125">
        <v>12257.95</v>
      </c>
      <c r="H8" s="125">
        <v>14211.22</v>
      </c>
      <c r="I8" s="125">
        <v>16114.26</v>
      </c>
      <c r="J8" s="73">
        <f ca="1">+'Revenue Deficit (%GSDP)'!J8</f>
        <v>33963</v>
      </c>
      <c r="K8" s="73">
        <f ca="1">+'Revenue Deficit (%GSDP)'!K8</f>
        <v>41483</v>
      </c>
      <c r="L8" s="73">
        <f ca="1">+'Revenue Deficit (%GSDP)'!L8</f>
        <v>48189</v>
      </c>
      <c r="M8" s="73">
        <f ca="1">+'Revenue Deficit (%GSDP)'!M8</f>
        <v>57452</v>
      </c>
      <c r="N8" s="73">
        <f ca="1">+'Revenue Deficit (%GSDP)'!N8</f>
        <v>64957</v>
      </c>
      <c r="O8" s="73">
        <f ca="1">+'Revenue Deficit (%GSDP)'!O8</f>
        <v>73710</v>
      </c>
      <c r="P8" s="55">
        <f ca="1">+'Revenue Deficit (%GSDP)'!P8</f>
        <v>82585</v>
      </c>
      <c r="Q8" s="125">
        <f t="shared" si="1"/>
        <v>21.183434914465739</v>
      </c>
      <c r="R8" s="125">
        <f t="shared" si="2"/>
        <v>21.02950606272449</v>
      </c>
      <c r="S8" s="125">
        <f t="shared" si="3"/>
        <v>20.67828757600282</v>
      </c>
      <c r="T8" s="125">
        <f t="shared" si="4"/>
        <v>21.432935319919235</v>
      </c>
      <c r="U8" s="125">
        <f t="shared" si="5"/>
        <v>18.870868420647508</v>
      </c>
      <c r="V8" s="125">
        <f t="shared" si="6"/>
        <v>19.279907746574413</v>
      </c>
      <c r="W8" s="125">
        <f t="shared" si="6"/>
        <v>19.512332748077739</v>
      </c>
    </row>
    <row r="9" spans="1:23" ht="21" customHeight="1">
      <c r="A9" s="3">
        <v>4</v>
      </c>
      <c r="B9" s="6" t="s">
        <v>52</v>
      </c>
      <c r="C9" s="125">
        <v>11741.88</v>
      </c>
      <c r="D9" s="125">
        <v>12005.54</v>
      </c>
      <c r="E9" s="125">
        <v>14918.37</v>
      </c>
      <c r="F9" s="125">
        <v>17962.98</v>
      </c>
      <c r="G9" s="125">
        <v>21923.06</v>
      </c>
      <c r="H9" s="125">
        <v>23907.1</v>
      </c>
      <c r="I9" s="125">
        <v>27767.58</v>
      </c>
      <c r="J9" s="73">
        <f ca="1">+'Revenue Deficit (%GSDP)'!J9</f>
        <v>37099</v>
      </c>
      <c r="K9" s="73">
        <f ca="1">+'Revenue Deficit (%GSDP)'!K9</f>
        <v>42315</v>
      </c>
      <c r="L9" s="73">
        <f ca="1">+'Revenue Deficit (%GSDP)'!L9</f>
        <v>48385</v>
      </c>
      <c r="M9" s="73">
        <f ca="1">+'Revenue Deficit (%GSDP)'!M9</f>
        <v>58073</v>
      </c>
      <c r="N9" s="73">
        <f ca="1">+'Revenue Deficit (%GSDP)'!N9</f>
        <v>65759</v>
      </c>
      <c r="O9" s="73">
        <f ca="1">+'Revenue Deficit (%GSDP)'!O9</f>
        <v>75574</v>
      </c>
      <c r="P9" s="55">
        <f ca="1">+'Revenue Deficit (%GSDP)'!P9</f>
        <v>87319</v>
      </c>
      <c r="Q9" s="125">
        <f t="shared" si="1"/>
        <v>31.650125340305667</v>
      </c>
      <c r="R9" s="125">
        <f t="shared" si="2"/>
        <v>28.371830320217416</v>
      </c>
      <c r="S9" s="125">
        <f t="shared" si="3"/>
        <v>30.832634080810166</v>
      </c>
      <c r="T9" s="125">
        <f t="shared" si="4"/>
        <v>30.931723864790868</v>
      </c>
      <c r="U9" s="125">
        <f t="shared" si="5"/>
        <v>33.338493590230996</v>
      </c>
      <c r="V9" s="125">
        <f t="shared" si="6"/>
        <v>31.634027575621243</v>
      </c>
      <c r="W9" s="125">
        <f t="shared" si="6"/>
        <v>31.80015804120524</v>
      </c>
    </row>
    <row r="10" spans="1:23" ht="21" customHeight="1">
      <c r="A10" s="3">
        <v>5</v>
      </c>
      <c r="B10" s="6" t="s">
        <v>16</v>
      </c>
      <c r="C10" s="125">
        <v>1814.77</v>
      </c>
      <c r="D10" s="125">
        <v>2135.5700000000002</v>
      </c>
      <c r="E10" s="125">
        <v>2303.9</v>
      </c>
      <c r="F10" s="125">
        <v>2980.68</v>
      </c>
      <c r="G10" s="125">
        <v>3922.69</v>
      </c>
      <c r="H10" s="125">
        <v>4260.51</v>
      </c>
      <c r="I10" s="125">
        <v>4734.1499999999996</v>
      </c>
      <c r="J10" s="73">
        <f ca="1">+'Revenue Deficit (%GSDP)'!J10</f>
        <v>6783</v>
      </c>
      <c r="K10" s="73">
        <f ca="1">+'Revenue Deficit (%GSDP)'!K10</f>
        <v>7399</v>
      </c>
      <c r="L10" s="73">
        <f ca="1">+'Revenue Deficit (%GSDP)'!L10</f>
        <v>8254</v>
      </c>
      <c r="M10" s="73">
        <f ca="1">+'Revenue Deficit (%GSDP)'!M10</f>
        <v>9137</v>
      </c>
      <c r="N10" s="73">
        <f ca="1">+'Revenue Deficit (%GSDP)'!N10</f>
        <v>10504</v>
      </c>
      <c r="O10" s="73">
        <f ca="1">+'Revenue Deficit (%GSDP)'!O10</f>
        <v>11983</v>
      </c>
      <c r="P10" s="55">
        <f ca="1">+'Revenue Deficit (%GSDP)'!P10</f>
        <v>13433.125480627126</v>
      </c>
      <c r="Q10" s="125">
        <f t="shared" si="1"/>
        <v>26.754680819696297</v>
      </c>
      <c r="R10" s="125">
        <f t="shared" si="2"/>
        <v>28.8629544533045</v>
      </c>
      <c r="S10" s="125">
        <f t="shared" si="3"/>
        <v>27.91252725951054</v>
      </c>
      <c r="T10" s="125">
        <f t="shared" si="4"/>
        <v>32.622086023859033</v>
      </c>
      <c r="U10" s="125">
        <f t="shared" si="5"/>
        <v>37.344725818735718</v>
      </c>
      <c r="V10" s="125">
        <f t="shared" si="6"/>
        <v>35.554619043645161</v>
      </c>
      <c r="W10" s="125">
        <f t="shared" si="6"/>
        <v>35.242356716070709</v>
      </c>
    </row>
    <row r="11" spans="1:23" s="86" customFormat="1" ht="21" customHeight="1">
      <c r="A11" s="84">
        <v>6</v>
      </c>
      <c r="B11" s="85" t="s">
        <v>17</v>
      </c>
      <c r="C11" s="125">
        <v>1543.82</v>
      </c>
      <c r="D11" s="125">
        <v>1684.51</v>
      </c>
      <c r="E11" s="125">
        <v>2152.4499999999998</v>
      </c>
      <c r="F11" s="125">
        <f>2545.68+0+15.19</f>
        <v>2560.87</v>
      </c>
      <c r="G11" s="125">
        <f>2876.03+3.77+16.43</f>
        <v>2896.23</v>
      </c>
      <c r="H11" s="125">
        <v>3345.42</v>
      </c>
      <c r="I11" s="125">
        <v>3498.75</v>
      </c>
      <c r="J11" s="73">
        <f ca="1">+'Revenue Deficit (%GSDP)'!J11</f>
        <v>9735</v>
      </c>
      <c r="K11" s="73">
        <f ca="1">+'Revenue Deficit (%GSDP)'!K11</f>
        <v>11617</v>
      </c>
      <c r="L11" s="73">
        <f ca="1">+'Revenue Deficit (%GSDP)'!L11</f>
        <v>12709</v>
      </c>
      <c r="M11" s="73">
        <f ca="1">+'Revenue Deficit (%GSDP)'!M11</f>
        <v>14583</v>
      </c>
      <c r="N11" s="73">
        <f ca="1">+'Revenue Deficit (%GSDP)'!N11</f>
        <v>16412</v>
      </c>
      <c r="O11" s="73">
        <f ca="1">+'Revenue Deficit (%GSDP)'!O11</f>
        <v>18135</v>
      </c>
      <c r="P11" s="55">
        <f ca="1">+'Revenue Deficit (%GSDP)'!P11</f>
        <v>20808</v>
      </c>
      <c r="Q11" s="145">
        <f t="shared" si="1"/>
        <v>15.858448895737032</v>
      </c>
      <c r="R11" s="145">
        <f t="shared" si="2"/>
        <v>14.500387363346819</v>
      </c>
      <c r="S11" s="125">
        <f t="shared" si="3"/>
        <v>16.936423007317646</v>
      </c>
      <c r="T11" s="125">
        <f t="shared" si="4"/>
        <v>17.560652814921482</v>
      </c>
      <c r="U11" s="125">
        <f t="shared" si="5"/>
        <v>17.647026565927369</v>
      </c>
      <c r="V11" s="125">
        <f t="shared" si="6"/>
        <v>18.447311827956987</v>
      </c>
      <c r="W11" s="125">
        <f t="shared" si="6"/>
        <v>16.814446366782008</v>
      </c>
    </row>
    <row r="12" spans="1:23" ht="21" customHeight="1">
      <c r="A12" s="3">
        <v>7</v>
      </c>
      <c r="B12" s="6" t="s">
        <v>18</v>
      </c>
      <c r="C12" s="125">
        <v>1196.32</v>
      </c>
      <c r="D12" s="125">
        <v>1633.53</v>
      </c>
      <c r="E12" s="125">
        <v>1965.13</v>
      </c>
      <c r="F12" s="125">
        <v>2142.02</v>
      </c>
      <c r="G12" s="125">
        <v>2613.6999999999998</v>
      </c>
      <c r="H12" s="125">
        <v>2875.5</v>
      </c>
      <c r="I12" s="125">
        <v>3253.33</v>
      </c>
      <c r="J12" s="73">
        <f ca="1">+'Revenue Deficit (%GSDP)'!J12</f>
        <v>3816</v>
      </c>
      <c r="K12" s="73">
        <f ca="1">+'Revenue Deficit (%GSDP)'!K12</f>
        <v>4577</v>
      </c>
      <c r="L12" s="73">
        <f ca="1">+'Revenue Deficit (%GSDP)'!L12</f>
        <v>5260</v>
      </c>
      <c r="M12" s="73">
        <f ca="1">+'Revenue Deficit (%GSDP)'!M12</f>
        <v>6388</v>
      </c>
      <c r="N12" s="10">
        <f ca="1">+'Revenue Deficit (%GSDP)'!N12</f>
        <v>7198</v>
      </c>
      <c r="O12" s="73">
        <f ca="1">+'Revenue Deficit (%GSDP)'!O12</f>
        <v>8053</v>
      </c>
      <c r="P12" s="55">
        <f ca="1">+'Revenue Deficit (%GSDP)'!P12</f>
        <v>9366.0879379254438</v>
      </c>
      <c r="Q12" s="125">
        <f t="shared" si="1"/>
        <v>31.350104821802933</v>
      </c>
      <c r="R12" s="125">
        <f t="shared" si="2"/>
        <v>35.689971597116013</v>
      </c>
      <c r="S12" s="125">
        <f t="shared" si="3"/>
        <v>37.359885931558942</v>
      </c>
      <c r="T12" s="125">
        <f t="shared" si="4"/>
        <v>33.531934877896049</v>
      </c>
      <c r="U12" s="125">
        <f t="shared" si="5"/>
        <v>36.311475409836063</v>
      </c>
      <c r="V12" s="125">
        <f t="shared" si="6"/>
        <v>35.707189867130261</v>
      </c>
      <c r="W12" s="125">
        <f t="shared" si="6"/>
        <v>34.735206647233355</v>
      </c>
    </row>
    <row r="13" spans="1:23" ht="21" customHeight="1">
      <c r="A13" s="3">
        <v>8</v>
      </c>
      <c r="B13" s="6" t="s">
        <v>19</v>
      </c>
      <c r="C13" s="125">
        <v>2186.19</v>
      </c>
      <c r="D13" s="125">
        <v>2449.83</v>
      </c>
      <c r="E13" s="125">
        <v>2951.58</v>
      </c>
      <c r="F13" s="125">
        <v>3568.24</v>
      </c>
      <c r="G13" s="125">
        <v>4408.29</v>
      </c>
      <c r="H13" s="125">
        <v>4950.5</v>
      </c>
      <c r="I13" s="125">
        <v>5338.68</v>
      </c>
      <c r="J13" s="73">
        <f ca="1">+'Revenue Deficit (%GSDP)'!J13</f>
        <v>8075</v>
      </c>
      <c r="K13" s="73">
        <f ca="1">+'Revenue Deficit (%GSDP)'!K13</f>
        <v>9436</v>
      </c>
      <c r="L13" s="73">
        <f ca="1">+'Revenue Deficit (%GSDP)'!L13</f>
        <v>10527</v>
      </c>
      <c r="M13" s="73">
        <f ca="1">+'Revenue Deficit (%GSDP)'!M13</f>
        <v>11759</v>
      </c>
      <c r="N13" s="73">
        <f ca="1">+'Revenue Deficit (%GSDP)'!N13</f>
        <v>13203</v>
      </c>
      <c r="O13" s="73">
        <f ca="1">+'Revenue Deficit (%GSDP)'!O13</f>
        <v>14832</v>
      </c>
      <c r="P13" s="55">
        <f ca="1">+'Revenue Deficit (%GSDP)'!P13</f>
        <v>16703.207706222278</v>
      </c>
      <c r="Q13" s="125">
        <f t="shared" si="1"/>
        <v>27.073560371517029</v>
      </c>
      <c r="R13" s="125">
        <f t="shared" si="2"/>
        <v>25.962590080542604</v>
      </c>
      <c r="S13" s="125">
        <f t="shared" si="3"/>
        <v>28.038187517811341</v>
      </c>
      <c r="T13" s="125">
        <f t="shared" si="4"/>
        <v>30.344757207245511</v>
      </c>
      <c r="U13" s="125">
        <f t="shared" si="5"/>
        <v>33.388548057259712</v>
      </c>
      <c r="V13" s="125">
        <f t="shared" si="6"/>
        <v>33.377157497303131</v>
      </c>
      <c r="W13" s="125">
        <f t="shared" si="6"/>
        <v>31.962004507740367</v>
      </c>
    </row>
    <row r="14" spans="1:23" ht="21" customHeight="1">
      <c r="A14" s="3">
        <v>9</v>
      </c>
      <c r="B14" s="6" t="s">
        <v>20</v>
      </c>
      <c r="C14" s="125">
        <v>727.08</v>
      </c>
      <c r="D14" s="125">
        <v>863.07</v>
      </c>
      <c r="E14" s="125">
        <v>1256.67</v>
      </c>
      <c r="F14" s="125">
        <v>1336.64</v>
      </c>
      <c r="G14" s="125">
        <v>1681.23</v>
      </c>
      <c r="H14" s="125">
        <v>1696.87</v>
      </c>
      <c r="I14" s="125">
        <v>2022.59</v>
      </c>
      <c r="J14" s="73">
        <f ca="1">+'Revenue Deficit (%GSDP)'!J14</f>
        <v>2506</v>
      </c>
      <c r="K14" s="73">
        <f ca="1">+'Revenue Deficit (%GSDP)'!K14</f>
        <v>3229</v>
      </c>
      <c r="L14" s="73">
        <f ca="1">+'Revenue Deficit (%GSDP)'!L14</f>
        <v>6133</v>
      </c>
      <c r="M14" s="73">
        <f ca="1">+'Revenue Deficit (%GSDP)'!M14</f>
        <v>7412</v>
      </c>
      <c r="N14" s="73">
        <f ca="1">+'Revenue Deficit (%GSDP)'!N14</f>
        <v>8616</v>
      </c>
      <c r="O14" s="73">
        <f ca="1">+'Revenue Deficit (%GSDP)'!O14</f>
        <v>9957</v>
      </c>
      <c r="P14" s="55">
        <f ca="1">+'Revenue Deficit (%GSDP)'!P14</f>
        <v>13261.907960807141</v>
      </c>
      <c r="Q14" s="125">
        <f t="shared" si="1"/>
        <v>29.013567438148446</v>
      </c>
      <c r="R14" s="125">
        <f t="shared" si="2"/>
        <v>26.72870857850728</v>
      </c>
      <c r="S14" s="125">
        <f t="shared" si="3"/>
        <v>20.490298385781838</v>
      </c>
      <c r="T14" s="125">
        <f t="shared" si="4"/>
        <v>18.033459255261739</v>
      </c>
      <c r="U14" s="125">
        <f t="shared" si="5"/>
        <v>19.512883008356546</v>
      </c>
      <c r="V14" s="125">
        <f t="shared" si="6"/>
        <v>17.041980516219741</v>
      </c>
      <c r="W14" s="125">
        <f t="shared" si="6"/>
        <v>15.251123789860038</v>
      </c>
    </row>
    <row r="15" spans="1:23" ht="21" customHeight="1">
      <c r="A15" s="3">
        <v>10</v>
      </c>
      <c r="B15" s="6" t="s">
        <v>21</v>
      </c>
      <c r="C15" s="125">
        <v>2293.4299999999998</v>
      </c>
      <c r="D15" s="125">
        <v>2554.19</v>
      </c>
      <c r="E15" s="125">
        <v>3486.24</v>
      </c>
      <c r="F15" s="125">
        <v>3531.46</v>
      </c>
      <c r="G15" s="125">
        <v>3823.51</v>
      </c>
      <c r="H15" s="125">
        <v>4026.41</v>
      </c>
      <c r="I15" s="125">
        <v>5226.57</v>
      </c>
      <c r="J15" s="73">
        <f ca="1">+'Revenue Deficit (%GSDP)'!J15</f>
        <v>11797</v>
      </c>
      <c r="K15" s="73">
        <f ca="1">+'Revenue Deficit (%GSDP)'!K15</f>
        <v>13573</v>
      </c>
      <c r="L15" s="73">
        <f ca="1">+'Revenue Deficit (%GSDP)'!L15</f>
        <v>15403</v>
      </c>
      <c r="M15" s="73">
        <f ca="1">+'Revenue Deficit (%GSDP)'!M15</f>
        <v>17868</v>
      </c>
      <c r="N15" s="73">
        <f ca="1">+'Revenue Deficit (%GSDP)'!N15</f>
        <v>20982</v>
      </c>
      <c r="O15" s="73">
        <f ca="1">+'Revenue Deficit (%GSDP)'!O15</f>
        <v>23855</v>
      </c>
      <c r="P15" s="55">
        <f ca="1">+'Revenue Deficit (%GSDP)'!P15</f>
        <v>27499.381963863005</v>
      </c>
      <c r="Q15" s="125">
        <f t="shared" si="1"/>
        <v>19.440790031363907</v>
      </c>
      <c r="R15" s="125">
        <f t="shared" si="2"/>
        <v>18.818168422603698</v>
      </c>
      <c r="S15" s="125">
        <f t="shared" si="3"/>
        <v>22.633512952022333</v>
      </c>
      <c r="T15" s="125">
        <f t="shared" si="4"/>
        <v>19.764159391090217</v>
      </c>
      <c r="U15" s="125">
        <f t="shared" si="5"/>
        <v>18.22281002764274</v>
      </c>
      <c r="V15" s="125">
        <f t="shared" si="6"/>
        <v>16.878683714106057</v>
      </c>
      <c r="W15" s="125">
        <f t="shared" si="6"/>
        <v>19.006136235600664</v>
      </c>
    </row>
    <row r="16" spans="1:23" ht="21" customHeight="1">
      <c r="A16" s="3">
        <v>11</v>
      </c>
      <c r="B16" s="6" t="s">
        <v>22</v>
      </c>
      <c r="C16" s="125">
        <v>6300.43</v>
      </c>
      <c r="D16" s="125">
        <v>7372.25</v>
      </c>
      <c r="E16" s="125">
        <v>10386.799999999999</v>
      </c>
      <c r="F16" s="125">
        <v>10348.56</v>
      </c>
      <c r="G16" s="125">
        <v>12838.36</v>
      </c>
      <c r="H16" s="125">
        <v>13751.16</v>
      </c>
      <c r="I16" s="125">
        <v>16619.46</v>
      </c>
      <c r="J16" s="73">
        <f ca="1">+'Revenue Deficit (%GSDP)'!J16</f>
        <v>45856</v>
      </c>
      <c r="K16" s="73">
        <f ca="1">+'Revenue Deficit (%GSDP)'!K16</f>
        <v>56025</v>
      </c>
      <c r="L16" s="73">
        <f ca="1">+'Revenue Deficit (%GSDP)'!L16</f>
        <v>70730</v>
      </c>
      <c r="M16" s="73">
        <f ca="1">+'Revenue Deficit (%GSDP)'!M16</f>
        <v>83969</v>
      </c>
      <c r="N16" s="73">
        <f ca="1">+'Revenue Deficit (%GSDP)'!N16</f>
        <v>97696</v>
      </c>
      <c r="O16" s="73">
        <f ca="1">+'Revenue Deficit (%GSDP)'!O16</f>
        <v>113958</v>
      </c>
      <c r="P16" s="55">
        <f ca="1">+'Revenue Deficit (%GSDP)'!P16</f>
        <v>132969</v>
      </c>
      <c r="Q16" s="125">
        <f t="shared" si="1"/>
        <v>13.739597871598047</v>
      </c>
      <c r="R16" s="125">
        <f t="shared" si="2"/>
        <v>13.158857652833555</v>
      </c>
      <c r="S16" s="125">
        <f>+E16/L16*100</f>
        <v>14.685140675809416</v>
      </c>
      <c r="T16" s="125">
        <f t="shared" si="4"/>
        <v>12.324262525455824</v>
      </c>
      <c r="U16" s="125">
        <f t="shared" si="5"/>
        <v>13.141131673763512</v>
      </c>
      <c r="V16" s="125">
        <f t="shared" si="6"/>
        <v>12.066866740378034</v>
      </c>
      <c r="W16" s="125">
        <f t="shared" si="6"/>
        <v>12.498747828441214</v>
      </c>
    </row>
    <row r="17" spans="1:23" s="75" customFormat="1" ht="21" customHeight="1">
      <c r="A17" s="72"/>
      <c r="B17" s="4" t="s">
        <v>23</v>
      </c>
      <c r="C17" s="126">
        <f t="shared" ref="C17:O17" si="7">SUM(C6:C16)</f>
        <v>47461.01</v>
      </c>
      <c r="D17" s="126">
        <f t="shared" si="7"/>
        <v>52566.16</v>
      </c>
      <c r="E17" s="126">
        <f t="shared" si="7"/>
        <v>67157.119999999995</v>
      </c>
      <c r="F17" s="126">
        <f t="shared" si="7"/>
        <v>82080.58</v>
      </c>
      <c r="G17" s="126">
        <f t="shared" si="7"/>
        <v>91802.739999999976</v>
      </c>
      <c r="H17" s="126">
        <f t="shared" si="7"/>
        <v>100743.12</v>
      </c>
      <c r="I17" s="126">
        <f t="shared" si="7"/>
        <v>117454.29999999999</v>
      </c>
      <c r="J17" s="74">
        <f t="shared" si="7"/>
        <v>235516</v>
      </c>
      <c r="K17" s="74">
        <f t="shared" si="7"/>
        <v>276415</v>
      </c>
      <c r="L17" s="74">
        <f t="shared" si="7"/>
        <v>329039</v>
      </c>
      <c r="M17" s="74">
        <f t="shared" si="7"/>
        <v>388342</v>
      </c>
      <c r="N17" s="74">
        <f t="shared" si="7"/>
        <v>441766</v>
      </c>
      <c r="O17" s="74">
        <f t="shared" si="7"/>
        <v>503769</v>
      </c>
      <c r="P17" s="242">
        <f ca="1">SUM(P6:P16)</f>
        <v>579978.71104944497</v>
      </c>
      <c r="Q17" s="126">
        <f t="shared" si="1"/>
        <v>20.15192598379728</v>
      </c>
      <c r="R17" s="126">
        <f t="shared" si="2"/>
        <v>19.017115568981424</v>
      </c>
      <c r="S17" s="126">
        <f>+E17/L17*100</f>
        <v>20.410079048380283</v>
      </c>
      <c r="T17" s="126">
        <f>+F17/M17*100</f>
        <v>21.136158334663776</v>
      </c>
      <c r="U17" s="126">
        <f>+G17/N17*100</f>
        <v>20.780852306424663</v>
      </c>
      <c r="V17" s="126">
        <f>+H17/M17*100</f>
        <v>25.9418553749015</v>
      </c>
      <c r="W17" s="126">
        <f>+I17/N17*100</f>
        <v>26.587446747825773</v>
      </c>
    </row>
    <row r="18" spans="1:23" ht="21" customHeight="1">
      <c r="A18" s="3"/>
      <c r="B18" s="4" t="s">
        <v>189</v>
      </c>
      <c r="C18" s="126"/>
      <c r="D18" s="126"/>
      <c r="E18" s="126"/>
      <c r="F18" s="126"/>
      <c r="G18" s="126"/>
      <c r="H18" s="126"/>
      <c r="I18" s="126"/>
      <c r="J18" s="74"/>
      <c r="K18" s="74"/>
      <c r="L18" s="74"/>
      <c r="M18" s="74"/>
      <c r="N18" s="74"/>
      <c r="O18" s="74"/>
      <c r="P18" s="242"/>
      <c r="Q18" s="125"/>
      <c r="R18" s="125"/>
      <c r="S18" s="125"/>
      <c r="T18" s="125"/>
      <c r="U18" s="125"/>
      <c r="V18" s="125"/>
      <c r="W18" s="125"/>
    </row>
    <row r="19" spans="1:23" ht="21" customHeight="1">
      <c r="A19" s="3">
        <v>12</v>
      </c>
      <c r="B19" s="6" t="s">
        <v>25</v>
      </c>
      <c r="C19" s="125">
        <v>40690.78</v>
      </c>
      <c r="D19" s="125">
        <v>42933.41</v>
      </c>
      <c r="E19" s="125">
        <v>47920.55</v>
      </c>
      <c r="F19" s="125">
        <v>58938.62</v>
      </c>
      <c r="G19" s="125">
        <v>67147.45</v>
      </c>
      <c r="H19" s="125">
        <v>78050.990000000005</v>
      </c>
      <c r="I19" s="125">
        <v>93299.520000000004</v>
      </c>
      <c r="J19" s="73">
        <f ca="1">+'Revenue Deficit (%GSDP)'!J19</f>
        <v>364813</v>
      </c>
      <c r="K19" s="73">
        <f ca="1">+'Revenue Deficit (%GSDP)'!K19</f>
        <v>426765</v>
      </c>
      <c r="L19" s="73">
        <f ca="1">+'Revenue Deficit (%GSDP)'!L19</f>
        <v>476835</v>
      </c>
      <c r="M19" s="73">
        <f ca="1">+'Revenue Deficit (%GSDP)'!M19</f>
        <v>583762</v>
      </c>
      <c r="N19" s="73">
        <f ca="1">+'Revenue Deficit (%GSDP)'!N19</f>
        <v>662592</v>
      </c>
      <c r="O19" s="73">
        <f ca="1">+'Revenue Deficit (%GSDP)'!O19</f>
        <v>754409</v>
      </c>
      <c r="P19" s="55">
        <f ca="1">+'Revenue Deficit (%GSDP)'!P19</f>
        <v>857364</v>
      </c>
      <c r="Q19" s="125">
        <f t="shared" ref="Q19:W19" si="8">+C19/J19*100</f>
        <v>11.153873354293843</v>
      </c>
      <c r="R19" s="125">
        <f t="shared" si="8"/>
        <v>10.060199407167881</v>
      </c>
      <c r="S19" s="125">
        <f t="shared" si="8"/>
        <v>10.049713213165981</v>
      </c>
      <c r="T19" s="125">
        <f t="shared" si="8"/>
        <v>10.096344058023647</v>
      </c>
      <c r="U19" s="125">
        <f t="shared" si="8"/>
        <v>10.134056855500821</v>
      </c>
      <c r="V19" s="125">
        <f t="shared" si="8"/>
        <v>10.345978110017246</v>
      </c>
      <c r="W19" s="125">
        <f t="shared" si="8"/>
        <v>10.882136408806527</v>
      </c>
    </row>
    <row r="20" spans="1:23" ht="21" customHeight="1">
      <c r="A20" s="3">
        <v>13</v>
      </c>
      <c r="B20" s="6" t="s">
        <v>26</v>
      </c>
      <c r="C20" s="125">
        <v>18993.64</v>
      </c>
      <c r="D20" s="125">
        <v>21685.24</v>
      </c>
      <c r="E20" s="125">
        <v>24618.86</v>
      </c>
      <c r="F20" s="125">
        <v>27603.95</v>
      </c>
      <c r="G20" s="125">
        <v>34272.97</v>
      </c>
      <c r="H20" s="125">
        <v>37755.46</v>
      </c>
      <c r="I20" s="125">
        <v>49842.9</v>
      </c>
      <c r="J20" s="73">
        <f ca="1">+'Revenue Deficit (%GSDP)'!J20</f>
        <v>113680</v>
      </c>
      <c r="K20" s="73">
        <f ca="1">+'Revenue Deficit (%GSDP)'!K20</f>
        <v>142279</v>
      </c>
      <c r="L20" s="73">
        <f ca="1">+'Revenue Deficit (%GSDP)'!L20</f>
        <v>162924</v>
      </c>
      <c r="M20" s="73">
        <f ca="1">+'Revenue Deficit (%GSDP)'!M20</f>
        <v>204289</v>
      </c>
      <c r="N20" s="73">
        <f ca="1">+'Revenue Deficit (%GSDP)'!N20</f>
        <v>247318</v>
      </c>
      <c r="O20" s="73">
        <f ca="1">+'Revenue Deficit (%GSDP)'!O20</f>
        <v>313995</v>
      </c>
      <c r="P20" s="55">
        <f ca="1">+'Revenue Deficit (%GSDP)'!P20</f>
        <v>368337</v>
      </c>
      <c r="Q20" s="125">
        <f t="shared" ref="Q20:Q36" si="9">+C20/J20*100</f>
        <v>16.707987332864178</v>
      </c>
      <c r="R20" s="125">
        <f t="shared" ref="R20:R36" si="10">+D20/K20*100</f>
        <v>15.241349742407525</v>
      </c>
      <c r="S20" s="125">
        <f t="shared" ref="S20:S27" si="11">+E20/L20*100</f>
        <v>15.110640544057352</v>
      </c>
      <c r="T20" s="125">
        <f t="shared" ref="T20:T28" si="12">+F20/M20*100</f>
        <v>13.512205747739722</v>
      </c>
      <c r="U20" s="125">
        <f t="shared" ref="U20:U28" si="13">+G20/N20*100</f>
        <v>13.857855069182188</v>
      </c>
      <c r="V20" s="125">
        <f t="shared" ref="V20:W28" si="14">+H20/O20*100</f>
        <v>12.024223315657892</v>
      </c>
      <c r="W20" s="125">
        <f t="shared" si="14"/>
        <v>13.531874343332328</v>
      </c>
    </row>
    <row r="21" spans="1:23" ht="21" customHeight="1">
      <c r="A21" s="3">
        <v>14</v>
      </c>
      <c r="B21" s="6" t="s">
        <v>27</v>
      </c>
      <c r="C21" s="125">
        <v>7293.77</v>
      </c>
      <c r="D21" s="125">
        <v>8385.68</v>
      </c>
      <c r="E21" s="125">
        <v>10460.92</v>
      </c>
      <c r="F21" s="125">
        <v>11299.72</v>
      </c>
      <c r="G21" s="125">
        <v>12638.44</v>
      </c>
      <c r="H21" s="125">
        <v>14542.17</v>
      </c>
      <c r="I21" s="125">
        <v>19470.330000000002</v>
      </c>
      <c r="J21" s="73">
        <f ca="1">+'Revenue Deficit (%GSDP)'!J21</f>
        <v>80255</v>
      </c>
      <c r="K21" s="73">
        <f ca="1">+'Revenue Deficit (%GSDP)'!K21</f>
        <v>96972</v>
      </c>
      <c r="L21" s="73">
        <f ca="1">+'Revenue Deficit (%GSDP)'!L21</f>
        <v>99364</v>
      </c>
      <c r="M21" s="73">
        <f ca="1">+'Revenue Deficit (%GSDP)'!M21</f>
        <v>119420</v>
      </c>
      <c r="N21" s="73">
        <f ca="1">+'Revenue Deficit (%GSDP)'!N21</f>
        <v>132872</v>
      </c>
      <c r="O21" s="73">
        <f ca="1">+'Revenue Deficit (%GSDP)'!O21</f>
        <v>153621</v>
      </c>
      <c r="P21" s="55">
        <f ca="1">+'Revenue Deficit (%GSDP)'!P21</f>
        <v>175961</v>
      </c>
      <c r="Q21" s="125">
        <f t="shared" si="9"/>
        <v>9.0882437231325142</v>
      </c>
      <c r="R21" s="125">
        <f t="shared" si="10"/>
        <v>8.6475271212308709</v>
      </c>
      <c r="S21" s="125">
        <f t="shared" si="11"/>
        <v>10.527877299625619</v>
      </c>
      <c r="T21" s="125">
        <f t="shared" si="12"/>
        <v>9.4621671411823822</v>
      </c>
      <c r="U21" s="125">
        <f t="shared" si="13"/>
        <v>9.5117406225540382</v>
      </c>
      <c r="V21" s="125">
        <f t="shared" si="14"/>
        <v>9.4662643779170814</v>
      </c>
      <c r="W21" s="125">
        <f t="shared" si="14"/>
        <v>11.065139434306467</v>
      </c>
    </row>
    <row r="22" spans="1:23" s="20" customFormat="1" ht="21" customHeight="1">
      <c r="A22" s="3">
        <v>15</v>
      </c>
      <c r="B22" s="6" t="s">
        <v>28</v>
      </c>
      <c r="C22" s="125">
        <v>1575.66</v>
      </c>
      <c r="D22" s="125">
        <v>1997.3</v>
      </c>
      <c r="E22" s="125">
        <v>2659.74</v>
      </c>
      <c r="F22" s="125">
        <v>4070.0000000000005</v>
      </c>
      <c r="G22" s="125">
        <v>4646.08</v>
      </c>
      <c r="H22" s="125">
        <v>5499.91</v>
      </c>
      <c r="I22" s="125">
        <v>5433.0199999999995</v>
      </c>
      <c r="J22" s="73">
        <f ca="1">+'Revenue Deficit (%GSDP)'!J22</f>
        <v>19565</v>
      </c>
      <c r="K22" s="73">
        <f ca="1">+'Revenue Deficit (%GSDP)'!K22</f>
        <v>25414</v>
      </c>
      <c r="L22" s="73">
        <f ca="1">+'Revenue Deficit (%GSDP)'!L22</f>
        <v>29126</v>
      </c>
      <c r="M22" s="73">
        <f ca="1">+'Revenue Deficit (%GSDP)'!M22</f>
        <v>33605</v>
      </c>
      <c r="N22" s="73">
        <f ca="1">+'Revenue Deficit (%GSDP)'!N22</f>
        <v>36025</v>
      </c>
      <c r="O22" s="73">
        <f ca="1">+'Revenue Deficit (%GSDP)'!O22</f>
        <v>34965</v>
      </c>
      <c r="P22" s="55">
        <f ca="1">+'Revenue Deficit (%GSDP)'!P22</f>
        <v>39302.375411462228</v>
      </c>
      <c r="Q22" s="125">
        <f t="shared" si="9"/>
        <v>8.0534628162535142</v>
      </c>
      <c r="R22" s="125">
        <f t="shared" si="10"/>
        <v>7.8590540646887543</v>
      </c>
      <c r="S22" s="125">
        <f t="shared" si="11"/>
        <v>9.1318409668337548</v>
      </c>
      <c r="T22" s="125">
        <f t="shared" si="12"/>
        <v>12.111292962356794</v>
      </c>
      <c r="U22" s="125">
        <f t="shared" si="13"/>
        <v>12.896821651630811</v>
      </c>
      <c r="V22" s="125">
        <f t="shared" si="14"/>
        <v>15.729758329758328</v>
      </c>
      <c r="W22" s="125">
        <f t="shared" si="14"/>
        <v>13.823642828508278</v>
      </c>
    </row>
    <row r="23" spans="1:23" ht="21" customHeight="1">
      <c r="A23" s="3">
        <v>16</v>
      </c>
      <c r="B23" s="6" t="s">
        <v>29</v>
      </c>
      <c r="C23" s="125">
        <v>25083.11</v>
      </c>
      <c r="D23" s="125">
        <v>27276.36</v>
      </c>
      <c r="E23" s="125">
        <v>34089</v>
      </c>
      <c r="F23" s="125">
        <v>40770.04</v>
      </c>
      <c r="G23" s="125">
        <v>43981.33</v>
      </c>
      <c r="H23" s="125">
        <v>50085.97</v>
      </c>
      <c r="I23" s="125">
        <v>55712.71</v>
      </c>
      <c r="J23" s="73">
        <f ca="1">+'Revenue Deficit (%GSDP)'!J23</f>
        <v>329285</v>
      </c>
      <c r="K23" s="73">
        <f ca="1">+'Revenue Deficit (%GSDP)'!K23</f>
        <v>367912</v>
      </c>
      <c r="L23" s="73">
        <f ca="1">+'Revenue Deficit (%GSDP)'!L23</f>
        <v>431262</v>
      </c>
      <c r="M23" s="73">
        <f ca="1">+'Revenue Deficit (%GSDP)'!M23</f>
        <v>521519</v>
      </c>
      <c r="N23" s="10">
        <f ca="1">+'Revenue Deficit (%GSDP)'!N23</f>
        <v>594563</v>
      </c>
      <c r="O23" s="73">
        <f ca="1">+'Revenue Deficit (%GSDP)'!O23</f>
        <v>670016</v>
      </c>
      <c r="P23" s="55">
        <f ca="1">+'Revenue Deficit (%GSDP)'!P23</f>
        <v>776933.66658041347</v>
      </c>
      <c r="Q23" s="125">
        <f t="shared" si="9"/>
        <v>7.6174468925095287</v>
      </c>
      <c r="R23" s="125">
        <f t="shared" si="10"/>
        <v>7.4138272195525019</v>
      </c>
      <c r="S23" s="125">
        <f t="shared" si="11"/>
        <v>7.9044757015456959</v>
      </c>
      <c r="T23" s="125">
        <f t="shared" si="12"/>
        <v>7.8175560238457269</v>
      </c>
      <c r="U23" s="132">
        <f t="shared" si="13"/>
        <v>7.3972531085856348</v>
      </c>
      <c r="V23" s="125">
        <f t="shared" si="14"/>
        <v>7.4753393948801223</v>
      </c>
      <c r="W23" s="125">
        <f t="shared" si="14"/>
        <v>7.1708451308608172</v>
      </c>
    </row>
    <row r="24" spans="1:23" ht="21" customHeight="1">
      <c r="A24" s="3">
        <v>17</v>
      </c>
      <c r="B24" s="6" t="s">
        <v>30</v>
      </c>
      <c r="C24" s="125">
        <v>14627</v>
      </c>
      <c r="D24" s="125">
        <v>17441</v>
      </c>
      <c r="E24" s="125">
        <v>20771</v>
      </c>
      <c r="F24" s="125">
        <v>22428</v>
      </c>
      <c r="G24" s="125">
        <v>25504</v>
      </c>
      <c r="H24" s="125">
        <v>30254</v>
      </c>
      <c r="I24" s="125">
        <v>32721</v>
      </c>
      <c r="J24" s="73">
        <f ca="1">+'Revenue Deficit (%GSDP)'!J24</f>
        <v>151596</v>
      </c>
      <c r="K24" s="73">
        <f ca="1">+'Revenue Deficit (%GSDP)'!K24</f>
        <v>182522</v>
      </c>
      <c r="L24" s="73">
        <f ca="1">+'Revenue Deficit (%GSDP)'!L24</f>
        <v>223600</v>
      </c>
      <c r="M24" s="73">
        <f ca="1">+'Revenue Deficit (%GSDP)'!M24</f>
        <v>260621</v>
      </c>
      <c r="N24" s="73">
        <f ca="1">+'Revenue Deficit (%GSDP)'!N24</f>
        <v>301959</v>
      </c>
      <c r="O24" s="73">
        <f ca="1">+'Revenue Deficit (%GSDP)'!O24</f>
        <v>345238</v>
      </c>
      <c r="P24" s="55">
        <f ca="1">+'Revenue Deficit (%GSDP)'!P24</f>
        <v>392894</v>
      </c>
      <c r="Q24" s="125">
        <f t="shared" si="9"/>
        <v>9.6486714689041921</v>
      </c>
      <c r="R24" s="125">
        <f t="shared" si="10"/>
        <v>9.5555604255925317</v>
      </c>
      <c r="S24" s="125">
        <f t="shared" si="11"/>
        <v>9.2893559928443654</v>
      </c>
      <c r="T24" s="125">
        <f t="shared" si="12"/>
        <v>8.6055997022496271</v>
      </c>
      <c r="U24" s="125">
        <f t="shared" si="13"/>
        <v>8.4461797793740203</v>
      </c>
      <c r="V24" s="125">
        <f t="shared" si="14"/>
        <v>8.7632300036496567</v>
      </c>
      <c r="W24" s="125">
        <f t="shared" si="14"/>
        <v>8.3282004815548216</v>
      </c>
    </row>
    <row r="25" spans="1:23" ht="21" customHeight="1">
      <c r="A25" s="3">
        <v>18</v>
      </c>
      <c r="B25" s="6" t="s">
        <v>31</v>
      </c>
      <c r="C25" s="125">
        <v>8059.4</v>
      </c>
      <c r="D25" s="125">
        <v>9263.35</v>
      </c>
      <c r="E25" s="125">
        <v>11418.69</v>
      </c>
      <c r="F25" s="125">
        <v>12121.09</v>
      </c>
      <c r="G25" s="125">
        <v>13424.79</v>
      </c>
      <c r="H25" s="125">
        <v>15881.1</v>
      </c>
      <c r="I25" s="125">
        <v>18587.98</v>
      </c>
      <c r="J25" s="73">
        <f ca="1">+'Revenue Deficit (%GSDP)'!J25</f>
        <v>83950</v>
      </c>
      <c r="K25" s="73">
        <f ca="1">+'Revenue Deficit (%GSDP)'!K25</f>
        <v>87794</v>
      </c>
      <c r="L25" s="73">
        <f ca="1">+'Revenue Deficit (%GSDP)'!L25</f>
        <v>100621</v>
      </c>
      <c r="M25" s="73">
        <f ca="1">+'Revenue Deficit (%GSDP)'!M25</f>
        <v>127281</v>
      </c>
      <c r="N25" s="73">
        <f ca="1">+'Revenue Deficit (%GSDP)'!N25</f>
        <v>143891</v>
      </c>
      <c r="O25" s="73">
        <f ca="1">+'Revenue Deficit (%GSDP)'!O25</f>
        <v>164876</v>
      </c>
      <c r="P25" s="55">
        <f ca="1">+'Revenue Deficit (%GSDP)'!P25</f>
        <v>189208</v>
      </c>
      <c r="Q25" s="125">
        <f t="shared" si="9"/>
        <v>9.6002382370458612</v>
      </c>
      <c r="R25" s="125">
        <f t="shared" si="10"/>
        <v>10.55123356949222</v>
      </c>
      <c r="S25" s="125">
        <f t="shared" si="11"/>
        <v>11.34821756889715</v>
      </c>
      <c r="T25" s="125">
        <f t="shared" si="12"/>
        <v>9.5230945702815024</v>
      </c>
      <c r="U25" s="125">
        <f t="shared" si="13"/>
        <v>9.329832998589211</v>
      </c>
      <c r="V25" s="125">
        <f t="shared" si="14"/>
        <v>9.6321477959193569</v>
      </c>
      <c r="W25" s="125">
        <f t="shared" si="14"/>
        <v>9.8240983467929475</v>
      </c>
    </row>
    <row r="26" spans="1:23" ht="21" customHeight="1">
      <c r="A26" s="3">
        <v>19</v>
      </c>
      <c r="B26" s="6" t="s">
        <v>32</v>
      </c>
      <c r="C26" s="125">
        <v>30517.41</v>
      </c>
      <c r="D26" s="125">
        <v>32371.759999999998</v>
      </c>
      <c r="E26" s="125">
        <v>36318</v>
      </c>
      <c r="F26" s="125">
        <v>39621</v>
      </c>
      <c r="G26" s="125">
        <v>47217</v>
      </c>
      <c r="H26" s="125">
        <v>55421</v>
      </c>
      <c r="I26" s="125">
        <v>64924</v>
      </c>
      <c r="J26" s="73">
        <f ca="1">+'Revenue Deficit (%GSDP)'!J26</f>
        <v>270629</v>
      </c>
      <c r="K26" s="73">
        <f ca="1">+'Revenue Deficit (%GSDP)'!K26</f>
        <v>310312</v>
      </c>
      <c r="L26" s="73">
        <f ca="1">+'Revenue Deficit (%GSDP)'!L26</f>
        <v>337559</v>
      </c>
      <c r="M26" s="73">
        <f ca="1">+'Revenue Deficit (%GSDP)'!M26</f>
        <v>410703</v>
      </c>
      <c r="N26" s="73">
        <f ca="1">+'Revenue Deficit (%GSDP)'!N26</f>
        <v>458894</v>
      </c>
      <c r="O26" s="73">
        <f ca="1">+'Revenue Deficit (%GSDP)'!O26</f>
        <v>524502</v>
      </c>
      <c r="P26" s="55">
        <f ca="1">+'Revenue Deficit (%GSDP)'!P26</f>
        <v>593811</v>
      </c>
      <c r="Q26" s="125">
        <f t="shared" si="9"/>
        <v>11.276474435481786</v>
      </c>
      <c r="R26" s="125">
        <f t="shared" si="10"/>
        <v>10.432003918636726</v>
      </c>
      <c r="S26" s="125">
        <f t="shared" si="11"/>
        <v>10.759008054888183</v>
      </c>
      <c r="T26" s="125">
        <f t="shared" si="12"/>
        <v>9.647117259917751</v>
      </c>
      <c r="U26" s="125">
        <f t="shared" si="13"/>
        <v>10.289304283777954</v>
      </c>
      <c r="V26" s="125">
        <f t="shared" si="14"/>
        <v>10.566403941262378</v>
      </c>
      <c r="W26" s="125">
        <f t="shared" si="14"/>
        <v>10.933445153424238</v>
      </c>
    </row>
    <row r="27" spans="1:23" ht="21" customHeight="1">
      <c r="A27" s="3">
        <v>20</v>
      </c>
      <c r="B27" s="6" t="s">
        <v>33</v>
      </c>
      <c r="C27" s="125">
        <v>22710.51</v>
      </c>
      <c r="D27" s="125">
        <v>25441.279999999999</v>
      </c>
      <c r="E27" s="125">
        <v>27283.03</v>
      </c>
      <c r="F27" s="125">
        <v>31509.53</v>
      </c>
      <c r="G27" s="125">
        <v>41754.089999999997</v>
      </c>
      <c r="H27" s="125">
        <v>47101.62</v>
      </c>
      <c r="I27" s="125">
        <v>52401</v>
      </c>
      <c r="J27" s="73">
        <f ca="1">+'Revenue Deficit (%GSDP)'!J27</f>
        <v>175141</v>
      </c>
      <c r="K27" s="73">
        <f ca="1">+'Revenue Deficit (%GSDP)'!K27</f>
        <v>202783</v>
      </c>
      <c r="L27" s="73">
        <f ca="1">+'Revenue Deficit (%GSDP)'!L27</f>
        <v>231999</v>
      </c>
      <c r="M27" s="73">
        <f ca="1">+'Revenue Deficit (%GSDP)'!M27</f>
        <v>263773</v>
      </c>
      <c r="N27" s="73">
        <f ca="1">+'Revenue Deficit (%GSDP)'!N27</f>
        <v>307906</v>
      </c>
      <c r="O27" s="73">
        <f ca="1">+'Revenue Deficit (%GSDP)'!O27</f>
        <v>349338</v>
      </c>
      <c r="P27" s="55">
        <f ca="1">+'Revenue Deficit (%GSDP)'!P27</f>
        <v>401072.42420974676</v>
      </c>
      <c r="Q27" s="125">
        <f t="shared" si="9"/>
        <v>12.966986599368507</v>
      </c>
      <c r="R27" s="125">
        <f t="shared" si="10"/>
        <v>12.546061553483279</v>
      </c>
      <c r="S27" s="125">
        <f t="shared" si="11"/>
        <v>11.759977413695747</v>
      </c>
      <c r="T27" s="125">
        <f t="shared" si="12"/>
        <v>11.945699521937422</v>
      </c>
      <c r="U27" s="125">
        <f t="shared" si="13"/>
        <v>13.560661370678062</v>
      </c>
      <c r="V27" s="125">
        <f t="shared" si="14"/>
        <v>13.483108050083301</v>
      </c>
      <c r="W27" s="125">
        <f t="shared" si="14"/>
        <v>13.065221350794271</v>
      </c>
    </row>
    <row r="28" spans="1:23" ht="21" customHeight="1">
      <c r="A28" s="3">
        <v>21</v>
      </c>
      <c r="B28" s="6" t="s">
        <v>34</v>
      </c>
      <c r="C28" s="125">
        <v>19827.599999999999</v>
      </c>
      <c r="D28" s="125">
        <v>23287</v>
      </c>
      <c r="E28" s="125">
        <v>29263.03</v>
      </c>
      <c r="F28" s="125">
        <v>35007.19</v>
      </c>
      <c r="G28" s="125">
        <v>51344.46</v>
      </c>
      <c r="H28" s="125">
        <v>48728.4</v>
      </c>
      <c r="I28" s="125">
        <v>54340.69</v>
      </c>
      <c r="J28" s="73">
        <f ca="1">+'Revenue Deficit (%GSDP)'!J28</f>
        <v>161479</v>
      </c>
      <c r="K28" s="73">
        <f ca="1">+'Revenue Deficit (%GSDP)'!K28</f>
        <v>197276</v>
      </c>
      <c r="L28" s="73">
        <f ca="1">+'Revenue Deficit (%GSDP)'!L28</f>
        <v>227557</v>
      </c>
      <c r="M28" s="73">
        <f ca="1">+'Revenue Deficit (%GSDP)'!M28</f>
        <v>263396</v>
      </c>
      <c r="N28" s="73">
        <f ca="1">+'Revenue Deficit (%GSDP)'!N28</f>
        <v>311670</v>
      </c>
      <c r="O28" s="73">
        <f ca="1">+'Revenue Deficit (%GSDP)'!O28</f>
        <v>372171</v>
      </c>
      <c r="P28" s="55">
        <f ca="1">+'Revenue Deficit (%GSDP)'!P28</f>
        <v>450900</v>
      </c>
      <c r="Q28" s="125">
        <f t="shared" si="9"/>
        <v>12.278748320215012</v>
      </c>
      <c r="R28" s="125">
        <f t="shared" si="10"/>
        <v>11.804274214805654</v>
      </c>
      <c r="S28" s="125">
        <f>+E28/L28*100</f>
        <v>12.859648351841516</v>
      </c>
      <c r="T28" s="125">
        <f t="shared" si="12"/>
        <v>13.290706768515847</v>
      </c>
      <c r="U28" s="125">
        <f t="shared" si="13"/>
        <v>16.473982096448168</v>
      </c>
      <c r="V28" s="125">
        <f t="shared" si="14"/>
        <v>13.093013695317476</v>
      </c>
      <c r="W28" s="125">
        <f t="shared" si="14"/>
        <v>12.051605677533821</v>
      </c>
    </row>
    <row r="29" spans="1:23" ht="21" customHeight="1">
      <c r="A29" s="3">
        <v>22</v>
      </c>
      <c r="B29" s="6" t="s">
        <v>35</v>
      </c>
      <c r="C29" s="125">
        <v>57497.03</v>
      </c>
      <c r="D29" s="125">
        <v>70155.199999999997</v>
      </c>
      <c r="E29" s="125">
        <v>81727.02</v>
      </c>
      <c r="F29" s="125">
        <v>92125.41</v>
      </c>
      <c r="G29" s="125">
        <v>104762.44</v>
      </c>
      <c r="H29" s="125">
        <v>110797.13</v>
      </c>
      <c r="I29" s="125">
        <v>130380.03</v>
      </c>
      <c r="J29" s="73">
        <f ca="1">+'Revenue Deficit (%GSDP)'!J29</f>
        <v>684817</v>
      </c>
      <c r="K29" s="73">
        <f ca="1">+'Revenue Deficit (%GSDP)'!K29</f>
        <v>753969</v>
      </c>
      <c r="L29" s="73">
        <f ca="1">+'Revenue Deficit (%GSDP)'!L29</f>
        <v>855751</v>
      </c>
      <c r="M29" s="73">
        <f ca="1">+'Revenue Deficit (%GSDP)'!M29</f>
        <v>1035086</v>
      </c>
      <c r="N29" s="73">
        <f ca="1">+'Revenue Deficit (%GSDP)'!N29</f>
        <v>1199548</v>
      </c>
      <c r="O29" s="73">
        <f ca="1">+'Revenue Deficit (%GSDP)'!O29</f>
        <v>1372644</v>
      </c>
      <c r="P29" s="55">
        <f ca="1">+'Revenue Deficit (%GSDP)'!P29</f>
        <v>1586151.7193253073</v>
      </c>
      <c r="Q29" s="125">
        <f t="shared" si="9"/>
        <v>8.3959700182676542</v>
      </c>
      <c r="R29" s="125">
        <f t="shared" si="10"/>
        <v>9.3047857405277927</v>
      </c>
      <c r="S29" s="125">
        <f t="shared" ref="S29:S35" si="15">+E29/L29*100</f>
        <v>9.5503271395534455</v>
      </c>
      <c r="T29" s="125">
        <f t="shared" ref="T29:T35" si="16">+F29/M29*100</f>
        <v>8.9002662580693777</v>
      </c>
      <c r="U29" s="125">
        <f t="shared" ref="U29:U35" si="17">+G29/N29*100</f>
        <v>8.7334929490107953</v>
      </c>
      <c r="V29" s="125">
        <f t="shared" ref="V29:W35" si="18">+H29/O29*100</f>
        <v>8.0718037597512549</v>
      </c>
      <c r="W29" s="125">
        <f t="shared" si="18"/>
        <v>8.2198965213402815</v>
      </c>
    </row>
    <row r="30" spans="1:23" ht="21" customHeight="1">
      <c r="A30" s="3">
        <v>23</v>
      </c>
      <c r="B30" s="6" t="s">
        <v>74</v>
      </c>
      <c r="C30" s="125">
        <v>13953.48</v>
      </c>
      <c r="D30" s="125">
        <v>15905.41</v>
      </c>
      <c r="E30" s="125">
        <v>20150.41</v>
      </c>
      <c r="F30" s="125">
        <v>22212.89</v>
      </c>
      <c r="G30" s="125">
        <v>25619.8</v>
      </c>
      <c r="H30" s="125">
        <v>26738.94</v>
      </c>
      <c r="I30" s="125">
        <v>35139.879999999997</v>
      </c>
      <c r="J30" s="73">
        <f ca="1">+'Revenue Deficit (%GSDP)'!J30</f>
        <v>129274</v>
      </c>
      <c r="K30" s="73">
        <f ca="1">+'Revenue Deficit (%GSDP)'!K30</f>
        <v>148491</v>
      </c>
      <c r="L30" s="73">
        <f ca="1">+'Revenue Deficit (%GSDP)'!L30</f>
        <v>162946</v>
      </c>
      <c r="M30" s="73">
        <f ca="1">+'Revenue Deficit (%GSDP)'!M30</f>
        <v>197530</v>
      </c>
      <c r="N30" s="73">
        <f ca="1">+'Revenue Deficit (%GSDP)'!N30</f>
        <v>214583</v>
      </c>
      <c r="O30" s="73">
        <f ca="1">+'Revenue Deficit (%GSDP)'!O30</f>
        <v>255459</v>
      </c>
      <c r="P30" s="55">
        <f ca="1">+'Revenue Deficit (%GSDP)'!P30</f>
        <v>288414</v>
      </c>
      <c r="Q30" s="125">
        <f t="shared" si="9"/>
        <v>10.793724956294382</v>
      </c>
      <c r="R30" s="125">
        <f t="shared" si="10"/>
        <v>10.711362978227637</v>
      </c>
      <c r="S30" s="125">
        <f t="shared" si="15"/>
        <v>12.366311538791992</v>
      </c>
      <c r="T30" s="125">
        <f t="shared" si="16"/>
        <v>11.245324760795828</v>
      </c>
      <c r="U30" s="125">
        <f t="shared" si="17"/>
        <v>11.939342818396611</v>
      </c>
      <c r="V30" s="125">
        <f t="shared" si="18"/>
        <v>10.467018190785996</v>
      </c>
      <c r="W30" s="125">
        <f t="shared" si="18"/>
        <v>12.183832962338858</v>
      </c>
    </row>
    <row r="31" spans="1:23" s="20" customFormat="1" ht="21" customHeight="1">
      <c r="A31" s="3">
        <v>24</v>
      </c>
      <c r="B31" s="6" t="s">
        <v>36</v>
      </c>
      <c r="C31" s="125">
        <v>22204.33</v>
      </c>
      <c r="D31" s="125">
        <v>23456.86</v>
      </c>
      <c r="E31" s="125">
        <v>26198.84</v>
      </c>
      <c r="F31" s="125">
        <v>30862.94</v>
      </c>
      <c r="G31" s="125">
        <v>31455.71</v>
      </c>
      <c r="H31" s="125">
        <v>36771.550000000003</v>
      </c>
      <c r="I31" s="125">
        <v>40158.14</v>
      </c>
      <c r="J31" s="73">
        <f ca="1">+'Revenue Deficit (%GSDP)'!J31</f>
        <v>152245</v>
      </c>
      <c r="K31" s="73">
        <f ca="1">+'Revenue Deficit (%GSDP)'!K31</f>
        <v>174039</v>
      </c>
      <c r="L31" s="73">
        <f ca="1">+'Revenue Deficit (%GSDP)'!L31</f>
        <v>197500</v>
      </c>
      <c r="M31" s="73">
        <f ca="1">+'Revenue Deficit (%GSDP)'!M31</f>
        <v>226204</v>
      </c>
      <c r="N31" s="73">
        <f ca="1">+'Revenue Deficit (%GSDP)'!N31</f>
        <v>256430</v>
      </c>
      <c r="O31" s="73">
        <f ca="1">+'Revenue Deficit (%GSDP)'!O31</f>
        <v>286809</v>
      </c>
      <c r="P31" s="55">
        <f ca="1">+'Revenue Deficit (%GSDP)'!P31</f>
        <v>319117</v>
      </c>
      <c r="Q31" s="125">
        <f t="shared" si="9"/>
        <v>14.584603763670401</v>
      </c>
      <c r="R31" s="125">
        <f t="shared" si="10"/>
        <v>13.477933106947294</v>
      </c>
      <c r="S31" s="125">
        <f t="shared" si="15"/>
        <v>13.265235443037977</v>
      </c>
      <c r="T31" s="125">
        <f t="shared" si="16"/>
        <v>13.643852451769197</v>
      </c>
      <c r="U31" s="125">
        <f t="shared" si="17"/>
        <v>12.266782357758451</v>
      </c>
      <c r="V31" s="125">
        <f t="shared" si="18"/>
        <v>12.820919148283352</v>
      </c>
      <c r="W31" s="125">
        <f t="shared" si="18"/>
        <v>12.584143119921535</v>
      </c>
    </row>
    <row r="32" spans="1:23" ht="21" customHeight="1">
      <c r="A32" s="3">
        <v>25</v>
      </c>
      <c r="B32" s="6" t="s">
        <v>37</v>
      </c>
      <c r="C32" s="125">
        <v>25027.27</v>
      </c>
      <c r="D32" s="125">
        <v>28345.5</v>
      </c>
      <c r="E32" s="125">
        <v>33236.01</v>
      </c>
      <c r="F32" s="125">
        <v>36213.620000000003</v>
      </c>
      <c r="G32" s="125">
        <v>41312.160000000003</v>
      </c>
      <c r="H32" s="125">
        <v>49397.93</v>
      </c>
      <c r="I32" s="125">
        <v>58923.39</v>
      </c>
      <c r="J32" s="73">
        <f ca="1">+'Revenue Deficit (%GSDP)'!J32</f>
        <v>194822</v>
      </c>
      <c r="K32" s="73">
        <f ca="1">+'Revenue Deficit (%GSDP)'!K32</f>
        <v>230949</v>
      </c>
      <c r="L32" s="73">
        <f ca="1">+'Revenue Deficit (%GSDP)'!L32</f>
        <v>265825</v>
      </c>
      <c r="M32" s="73">
        <f ca="1">+'Revenue Deficit (%GSDP)'!M32</f>
        <v>338348</v>
      </c>
      <c r="N32" s="73">
        <f ca="1">+'Revenue Deficit (%GSDP)'!N32</f>
        <v>403422</v>
      </c>
      <c r="O32" s="73">
        <f ca="1">+'Revenue Deficit (%GSDP)'!O32</f>
        <v>459215</v>
      </c>
      <c r="P32" s="55">
        <f ca="1">+'Revenue Deficit (%GSDP)'!P32</f>
        <v>513688</v>
      </c>
      <c r="Q32" s="125">
        <f t="shared" si="9"/>
        <v>12.846223732432682</v>
      </c>
      <c r="R32" s="125">
        <f t="shared" si="10"/>
        <v>12.273488952106309</v>
      </c>
      <c r="S32" s="125">
        <f t="shared" si="15"/>
        <v>12.502966237186119</v>
      </c>
      <c r="T32" s="125">
        <f t="shared" si="16"/>
        <v>10.703069029519902</v>
      </c>
      <c r="U32" s="125">
        <f t="shared" si="17"/>
        <v>10.24043309487336</v>
      </c>
      <c r="V32" s="125">
        <f t="shared" si="18"/>
        <v>10.757037553215815</v>
      </c>
      <c r="W32" s="125">
        <f t="shared" si="18"/>
        <v>11.470657286134776</v>
      </c>
    </row>
    <row r="33" spans="1:23" ht="21" customHeight="1">
      <c r="A33" s="3">
        <v>26</v>
      </c>
      <c r="B33" s="6" t="s">
        <v>38</v>
      </c>
      <c r="C33" s="125">
        <v>36363.69</v>
      </c>
      <c r="D33" s="125">
        <v>45005.3</v>
      </c>
      <c r="E33" s="125">
        <v>48407.21</v>
      </c>
      <c r="F33" s="125">
        <v>60826.62</v>
      </c>
      <c r="G33" s="125">
        <v>71526.97</v>
      </c>
      <c r="H33" s="125">
        <v>83852.759999999995</v>
      </c>
      <c r="I33" s="125">
        <v>92606.9</v>
      </c>
      <c r="J33" s="73">
        <f ca="1">+'Revenue Deficit (%GSDP)'!J33</f>
        <v>350819</v>
      </c>
      <c r="K33" s="73">
        <f ca="1">+'Revenue Deficit (%GSDP)'!K33</f>
        <v>401336</v>
      </c>
      <c r="L33" s="73">
        <f ca="1">+'Revenue Deficit (%GSDP)'!L33</f>
        <v>479733</v>
      </c>
      <c r="M33" s="73">
        <f ca="1">+'Revenue Deficit (%GSDP)'!M33</f>
        <v>584896</v>
      </c>
      <c r="N33" s="73">
        <f ca="1">+'Revenue Deficit (%GSDP)'!N33</f>
        <v>665312</v>
      </c>
      <c r="O33" s="73">
        <f ca="1">+'Revenue Deficit (%GSDP)'!O33</f>
        <v>744474</v>
      </c>
      <c r="P33" s="55">
        <f ca="1">+'Revenue Deficit (%GSDP)'!P33</f>
        <v>850319</v>
      </c>
      <c r="Q33" s="125">
        <f t="shared" si="9"/>
        <v>10.365370746738348</v>
      </c>
      <c r="R33" s="125">
        <f t="shared" si="10"/>
        <v>11.213870671955668</v>
      </c>
      <c r="S33" s="125">
        <f t="shared" si="15"/>
        <v>10.090448228493766</v>
      </c>
      <c r="T33" s="125">
        <f t="shared" si="16"/>
        <v>10.399561631469528</v>
      </c>
      <c r="U33" s="125">
        <f t="shared" si="17"/>
        <v>10.750891311144246</v>
      </c>
      <c r="V33" s="125">
        <f t="shared" si="18"/>
        <v>11.263356410029093</v>
      </c>
      <c r="W33" s="125">
        <f t="shared" si="18"/>
        <v>10.8908421427723</v>
      </c>
    </row>
    <row r="34" spans="1:23" ht="21" customHeight="1">
      <c r="A34" s="3">
        <v>27</v>
      </c>
      <c r="B34" s="6" t="s">
        <v>39</v>
      </c>
      <c r="C34" s="125">
        <v>57084.35</v>
      </c>
      <c r="D34" s="125">
        <v>63352.47</v>
      </c>
      <c r="E34" s="125">
        <v>80101.8</v>
      </c>
      <c r="F34" s="125">
        <v>87678.74</v>
      </c>
      <c r="G34" s="125">
        <v>102669.21</v>
      </c>
      <c r="H34" s="125">
        <v>121674.17</v>
      </c>
      <c r="I34" s="125">
        <v>135596.79999999999</v>
      </c>
      <c r="J34" s="73">
        <f ca="1">+'Revenue Deficit (%GSDP)'!J34</f>
        <v>383026</v>
      </c>
      <c r="K34" s="73">
        <f ca="1">+'Revenue Deficit (%GSDP)'!K34</f>
        <v>444685</v>
      </c>
      <c r="L34" s="73">
        <f ca="1">+'Revenue Deficit (%GSDP)'!L34</f>
        <v>523394</v>
      </c>
      <c r="M34" s="73">
        <f ca="1">+'Revenue Deficit (%GSDP)'!M34</f>
        <v>600164</v>
      </c>
      <c r="N34" s="73">
        <f ca="1">+'Revenue Deficit (%GSDP)'!N34</f>
        <v>679007</v>
      </c>
      <c r="O34" s="73">
        <f ca="1">+'Revenue Deficit (%GSDP)'!O34</f>
        <v>768930</v>
      </c>
      <c r="P34" s="55">
        <f ca="1">+'Revenue Deficit (%GSDP)'!P34</f>
        <v>886410</v>
      </c>
      <c r="Q34" s="125">
        <f t="shared" si="9"/>
        <v>14.903518299018865</v>
      </c>
      <c r="R34" s="125">
        <f t="shared" si="10"/>
        <v>14.246594780575014</v>
      </c>
      <c r="S34" s="125">
        <f t="shared" si="15"/>
        <v>15.304302303809367</v>
      </c>
      <c r="T34" s="125">
        <f t="shared" si="16"/>
        <v>14.609130171086571</v>
      </c>
      <c r="U34" s="125">
        <f t="shared" si="17"/>
        <v>15.12049360315873</v>
      </c>
      <c r="V34" s="125">
        <f t="shared" si="18"/>
        <v>15.823829217223933</v>
      </c>
      <c r="W34" s="125">
        <f t="shared" si="18"/>
        <v>15.297300346340856</v>
      </c>
    </row>
    <row r="35" spans="1:23" ht="21" customHeight="1">
      <c r="A35" s="3">
        <v>28</v>
      </c>
      <c r="B35" s="6" t="s">
        <v>40</v>
      </c>
      <c r="C35" s="125">
        <v>31629.09</v>
      </c>
      <c r="D35" s="125">
        <v>43608.75</v>
      </c>
      <c r="E35" s="125">
        <v>48102.07</v>
      </c>
      <c r="F35" s="125">
        <v>52556.480000000003</v>
      </c>
      <c r="G35" s="125">
        <v>59324.56</v>
      </c>
      <c r="H35" s="125">
        <v>65231.42</v>
      </c>
      <c r="I35" s="125">
        <v>70048.89</v>
      </c>
      <c r="J35" s="73">
        <f ca="1">+'Revenue Deficit (%GSDP)'!J35</f>
        <v>299483</v>
      </c>
      <c r="K35" s="73">
        <f ca="1">+'Revenue Deficit (%GSDP)'!K35</f>
        <v>341942</v>
      </c>
      <c r="L35" s="73">
        <f ca="1">+'Revenue Deficit (%GSDP)'!L35</f>
        <v>398880</v>
      </c>
      <c r="M35" s="73">
        <f ca="1">+'Revenue Deficit (%GSDP)'!M35</f>
        <v>460959</v>
      </c>
      <c r="N35" s="73">
        <f ca="1">+'Revenue Deficit (%GSDP)'!N35</f>
        <v>538209</v>
      </c>
      <c r="O35" s="73">
        <f ca="1">+'Revenue Deficit (%GSDP)'!O35</f>
        <v>620160</v>
      </c>
      <c r="P35" s="55">
        <f ca="1">+'Revenue Deficit (%GSDP)'!P35</f>
        <v>707848</v>
      </c>
      <c r="Q35" s="125">
        <f t="shared" si="9"/>
        <v>10.561230520597162</v>
      </c>
      <c r="R35" s="125">
        <f t="shared" si="10"/>
        <v>12.753259324680794</v>
      </c>
      <c r="S35" s="125">
        <f t="shared" si="15"/>
        <v>12.059283493782591</v>
      </c>
      <c r="T35" s="125">
        <f t="shared" si="16"/>
        <v>11.401551981846543</v>
      </c>
      <c r="U35" s="125">
        <f t="shared" si="17"/>
        <v>11.022587879429738</v>
      </c>
      <c r="V35" s="125">
        <f t="shared" si="18"/>
        <v>10.518482327141383</v>
      </c>
      <c r="W35" s="125">
        <f t="shared" si="18"/>
        <v>9.8960355895616008</v>
      </c>
    </row>
    <row r="36" spans="1:23" s="75" customFormat="1" ht="21" customHeight="1">
      <c r="A36" s="72"/>
      <c r="B36" s="4" t="s">
        <v>190</v>
      </c>
      <c r="C36" s="126">
        <f t="shared" ref="C36:O36" si="19">SUM(C19:C35)</f>
        <v>433138.12000000005</v>
      </c>
      <c r="D36" s="126">
        <f t="shared" si="19"/>
        <v>499911.87</v>
      </c>
      <c r="E36" s="126">
        <f t="shared" si="19"/>
        <v>582726.18000000005</v>
      </c>
      <c r="F36" s="126">
        <f t="shared" si="19"/>
        <v>665845.84000000008</v>
      </c>
      <c r="G36" s="126">
        <f t="shared" si="19"/>
        <v>778601.46</v>
      </c>
      <c r="H36" s="126">
        <f t="shared" si="19"/>
        <v>877784.52000000014</v>
      </c>
      <c r="I36" s="126">
        <f t="shared" si="19"/>
        <v>1009587.18</v>
      </c>
      <c r="J36" s="74">
        <f t="shared" si="19"/>
        <v>3944879</v>
      </c>
      <c r="K36" s="74">
        <f t="shared" si="19"/>
        <v>4535440</v>
      </c>
      <c r="L36" s="74">
        <f t="shared" si="19"/>
        <v>5204876</v>
      </c>
      <c r="M36" s="74">
        <f t="shared" si="19"/>
        <v>6231556</v>
      </c>
      <c r="N36" s="74">
        <f t="shared" si="19"/>
        <v>7154201</v>
      </c>
      <c r="O36" s="74">
        <f t="shared" si="19"/>
        <v>8190822</v>
      </c>
      <c r="P36" s="242">
        <f ca="1">SUM(P19:P35)</f>
        <v>9397731.1855269298</v>
      </c>
      <c r="Q36" s="126">
        <f t="shared" si="9"/>
        <v>10.97975679355438</v>
      </c>
      <c r="R36" s="126">
        <f t="shared" si="10"/>
        <v>11.02234557176371</v>
      </c>
      <c r="S36" s="126">
        <f>+E36/L36*100</f>
        <v>11.195774500679748</v>
      </c>
      <c r="T36" s="126">
        <f>+F36/M36*100</f>
        <v>10.685065495680373</v>
      </c>
      <c r="U36" s="126">
        <f>+G36/N36*100</f>
        <v>10.883136495605868</v>
      </c>
      <c r="V36" s="126">
        <f>+H36/M36*100</f>
        <v>14.086121026594324</v>
      </c>
      <c r="W36" s="126">
        <f>+I36/N36*100</f>
        <v>14.111808991667974</v>
      </c>
    </row>
    <row r="37" spans="1:23" s="75" customFormat="1" ht="21" customHeight="1">
      <c r="A37" s="72"/>
      <c r="B37" s="4" t="s">
        <v>42</v>
      </c>
      <c r="C37" s="126"/>
      <c r="D37" s="126"/>
      <c r="E37" s="126"/>
      <c r="F37" s="126"/>
      <c r="G37" s="126"/>
      <c r="H37" s="126"/>
      <c r="I37" s="126"/>
      <c r="J37" s="74"/>
      <c r="K37" s="74"/>
      <c r="L37" s="74"/>
      <c r="M37" s="74"/>
      <c r="N37" s="74"/>
      <c r="O37" s="74"/>
      <c r="P37" s="242"/>
      <c r="Q37" s="125"/>
      <c r="R37" s="125"/>
      <c r="S37" s="125"/>
      <c r="T37" s="125"/>
      <c r="U37" s="125"/>
      <c r="V37" s="125"/>
      <c r="W37" s="125"/>
    </row>
    <row r="38" spans="1:23" ht="21" customHeight="1">
      <c r="A38" s="3">
        <v>29</v>
      </c>
      <c r="B38" s="6" t="s">
        <v>43</v>
      </c>
      <c r="C38" s="125">
        <v>9374.59</v>
      </c>
      <c r="D38" s="125">
        <v>10725.97</v>
      </c>
      <c r="E38" s="125">
        <v>13797.68</v>
      </c>
      <c r="F38" s="125">
        <v>14980.06</v>
      </c>
      <c r="G38" s="125">
        <v>12702.12</v>
      </c>
      <c r="H38" s="125">
        <v>16454.32</v>
      </c>
      <c r="I38" s="125">
        <v>21000</v>
      </c>
      <c r="J38" s="73">
        <f ca="1">+'Revenue Deficit (%GSDP)'!J38</f>
        <v>157947</v>
      </c>
      <c r="K38" s="73">
        <f ca="1">+'Revenue Deficit (%GSDP)'!K38</f>
        <v>189533</v>
      </c>
      <c r="L38" s="73">
        <f ca="1">+'Revenue Deficit (%GSDP)'!L38</f>
        <v>217619</v>
      </c>
      <c r="M38" s="73">
        <f ca="1">+'Revenue Deficit (%GSDP)'!M38</f>
        <v>252753</v>
      </c>
      <c r="N38" s="73">
        <f ca="1">+'Revenue Deficit (%GSDP)'!N38</f>
        <v>296957</v>
      </c>
      <c r="O38" s="73">
        <f ca="1">+'Revenue Deficit (%GSDP)'!O38</f>
        <v>348221</v>
      </c>
      <c r="P38" s="55">
        <f ca="1">+'Revenue Deficit (%GSDP)'!P38</f>
        <v>404576</v>
      </c>
      <c r="Q38" s="125">
        <f t="shared" ref="Q38:W38" si="20">+C38/J38*100</f>
        <v>5.935275757057747</v>
      </c>
      <c r="R38" s="125">
        <f t="shared" si="20"/>
        <v>5.6591569805785795</v>
      </c>
      <c r="S38" s="125">
        <f t="shared" si="20"/>
        <v>6.3402919781820524</v>
      </c>
      <c r="T38" s="125">
        <f t="shared" si="20"/>
        <v>5.9267585350124428</v>
      </c>
      <c r="U38" s="125">
        <f t="shared" si="20"/>
        <v>4.2774273716396651</v>
      </c>
      <c r="V38" s="125">
        <f t="shared" si="20"/>
        <v>4.7252520669345044</v>
      </c>
      <c r="W38" s="125">
        <f t="shared" si="20"/>
        <v>5.1906193150359883</v>
      </c>
    </row>
    <row r="39" spans="1:23" ht="21" customHeight="1">
      <c r="A39" s="3">
        <v>30</v>
      </c>
      <c r="B39" s="6" t="s">
        <v>44</v>
      </c>
      <c r="C39" s="125">
        <v>1364</v>
      </c>
      <c r="D39" s="125">
        <v>1757</v>
      </c>
      <c r="E39" s="125">
        <v>1993</v>
      </c>
      <c r="F39" s="125">
        <v>2323</v>
      </c>
      <c r="G39" s="125">
        <v>1951</v>
      </c>
      <c r="H39" s="125">
        <v>2083.9499999999998</v>
      </c>
      <c r="I39" s="125">
        <v>2187.36</v>
      </c>
      <c r="J39" s="73">
        <f ca="1">+'Revenue Deficit (%GSDP)'!J39</f>
        <v>9251</v>
      </c>
      <c r="K39" s="73">
        <f ca="1">+'Revenue Deficit (%GSDP)'!K39</f>
        <v>10050</v>
      </c>
      <c r="L39" s="73">
        <f ca="1">+'Revenue Deficit (%GSDP)'!L39</f>
        <v>12304</v>
      </c>
      <c r="M39" s="73">
        <f ca="1">+'Revenue Deficit (%GSDP)'!M39</f>
        <v>13092</v>
      </c>
      <c r="N39" s="73">
        <f ca="1">+'Revenue Deficit (%GSDP)'!N39</f>
        <v>14630</v>
      </c>
      <c r="O39" s="73">
        <f ca="1">+'Revenue Deficit (%GSDP)'!O39</f>
        <v>17192</v>
      </c>
      <c r="P39" s="55">
        <f ca="1">+'Revenue Deficit (%GSDP)'!P39</f>
        <v>21500</v>
      </c>
      <c r="Q39" s="125">
        <f t="shared" ref="Q39:S40" si="21">+C39/J39*100</f>
        <v>14.744351961950059</v>
      </c>
      <c r="R39" s="125">
        <f t="shared" si="21"/>
        <v>17.482587064676615</v>
      </c>
      <c r="S39" s="125">
        <f t="shared" si="21"/>
        <v>16.197984395318596</v>
      </c>
      <c r="T39" s="125">
        <f>+F39/M39*100</f>
        <v>17.743660250534678</v>
      </c>
      <c r="U39" s="125">
        <f>+G39/N39*100</f>
        <v>13.33561175666439</v>
      </c>
      <c r="V39" s="125">
        <f>+H39/O39*100</f>
        <v>12.121626337831549</v>
      </c>
      <c r="W39" s="125">
        <f>+I39/P39*100</f>
        <v>10.173767441860464</v>
      </c>
    </row>
    <row r="40" spans="1:23" ht="21" customHeight="1">
      <c r="A40" s="3"/>
      <c r="B40" s="4" t="s">
        <v>75</v>
      </c>
      <c r="C40" s="126">
        <f t="shared" ref="C40:O40" si="22">SUM(C38:C39)</f>
        <v>10738.59</v>
      </c>
      <c r="D40" s="126">
        <f t="shared" si="22"/>
        <v>12482.97</v>
      </c>
      <c r="E40" s="126">
        <f>SUM(E38:E39)</f>
        <v>15790.68</v>
      </c>
      <c r="F40" s="126">
        <f>SUM(F38:F39)</f>
        <v>17303.059999999998</v>
      </c>
      <c r="G40" s="126">
        <f>SUM(G38:G39)</f>
        <v>14653.12</v>
      </c>
      <c r="H40" s="126">
        <f>SUM(H38:H39)</f>
        <v>18538.27</v>
      </c>
      <c r="I40" s="126">
        <f>SUM(I38:I39)</f>
        <v>23187.360000000001</v>
      </c>
      <c r="J40" s="74">
        <f t="shared" si="22"/>
        <v>167198</v>
      </c>
      <c r="K40" s="74">
        <f t="shared" si="22"/>
        <v>199583</v>
      </c>
      <c r="L40" s="74">
        <f t="shared" si="22"/>
        <v>229923</v>
      </c>
      <c r="M40" s="74">
        <f t="shared" si="22"/>
        <v>265845</v>
      </c>
      <c r="N40" s="74">
        <f>SUM(N38:N39)</f>
        <v>311587</v>
      </c>
      <c r="O40" s="74">
        <f t="shared" si="22"/>
        <v>365413</v>
      </c>
      <c r="P40" s="242">
        <f>SUM(P38:P39)</f>
        <v>426076</v>
      </c>
      <c r="Q40" s="126">
        <f t="shared" si="21"/>
        <v>6.4226785009390071</v>
      </c>
      <c r="R40" s="126">
        <f t="shared" si="21"/>
        <v>6.254525686055425</v>
      </c>
      <c r="S40" s="126">
        <f t="shared" si="21"/>
        <v>6.8678122675852356</v>
      </c>
      <c r="T40" s="126">
        <f>+F40/M40*100</f>
        <v>6.5087024393913744</v>
      </c>
      <c r="U40" s="126">
        <f>+G40/N40*100</f>
        <v>4.7027379191044556</v>
      </c>
      <c r="V40" s="126">
        <f>+H40/M40*100</f>
        <v>6.9733378472418144</v>
      </c>
      <c r="W40" s="126">
        <f>+I40/N40*100</f>
        <v>7.4416968615507066</v>
      </c>
    </row>
    <row r="41" spans="1:23" ht="9" customHeight="1">
      <c r="A41" s="3"/>
      <c r="B41" s="4"/>
      <c r="C41" s="126"/>
      <c r="D41" s="126"/>
      <c r="E41" s="126"/>
      <c r="F41" s="126"/>
      <c r="G41" s="126"/>
      <c r="H41" s="126"/>
      <c r="I41" s="126"/>
      <c r="J41" s="74"/>
      <c r="K41" s="74"/>
      <c r="L41" s="74"/>
      <c r="M41" s="74"/>
      <c r="N41" s="74"/>
      <c r="O41" s="74"/>
      <c r="P41" s="242"/>
      <c r="Q41" s="125"/>
      <c r="R41" s="125"/>
      <c r="S41" s="125"/>
      <c r="T41" s="125"/>
      <c r="U41" s="125"/>
      <c r="V41" s="125"/>
      <c r="W41" s="125"/>
    </row>
    <row r="42" spans="1:23" s="75" customFormat="1">
      <c r="A42" s="72"/>
      <c r="B42" s="4" t="s">
        <v>46</v>
      </c>
      <c r="C42" s="126">
        <f t="shared" ref="C42:O42" si="23">+C17+C36+C40</f>
        <v>491337.72000000009</v>
      </c>
      <c r="D42" s="126">
        <f t="shared" si="23"/>
        <v>564961</v>
      </c>
      <c r="E42" s="126">
        <f>+E17+E36+E40</f>
        <v>665673.9800000001</v>
      </c>
      <c r="F42" s="126">
        <f>+F17+F36+F40</f>
        <v>765229.48</v>
      </c>
      <c r="G42" s="126">
        <f>+G17+G36+G40</f>
        <v>885057.32</v>
      </c>
      <c r="H42" s="126">
        <f>+H17+H36+H40</f>
        <v>997065.91000000015</v>
      </c>
      <c r="I42" s="126">
        <f>+I17+I36+I40</f>
        <v>1150228.8400000001</v>
      </c>
      <c r="J42" s="74">
        <f t="shared" si="23"/>
        <v>4347593</v>
      </c>
      <c r="K42" s="74">
        <f t="shared" si="23"/>
        <v>5011438</v>
      </c>
      <c r="L42" s="74">
        <f t="shared" si="23"/>
        <v>5763838</v>
      </c>
      <c r="M42" s="74">
        <f t="shared" si="23"/>
        <v>6885743</v>
      </c>
      <c r="N42" s="74">
        <f>+N17+N36+N40</f>
        <v>7907554</v>
      </c>
      <c r="O42" s="74">
        <f t="shared" si="23"/>
        <v>9060004</v>
      </c>
      <c r="P42" s="242">
        <f>+P17+P36+P40</f>
        <v>10403785.896576375</v>
      </c>
      <c r="Q42" s="126">
        <f>+C42/J42*100</f>
        <v>11.301373426629404</v>
      </c>
      <c r="R42" s="126">
        <f>+D42/K42*100</f>
        <v>11.273430899474363</v>
      </c>
      <c r="S42" s="126">
        <f>+E42/L42*100</f>
        <v>11.549144511001179</v>
      </c>
      <c r="T42" s="126">
        <f>+F42/M42*100</f>
        <v>11.113244859705047</v>
      </c>
      <c r="U42" s="126">
        <f>+G42/N42*100</f>
        <v>11.192554865891525</v>
      </c>
      <c r="V42" s="126">
        <f>+H42/M42*100</f>
        <v>14.480149927175617</v>
      </c>
      <c r="W42" s="126">
        <f>+I42/N42*100</f>
        <v>14.545949860095803</v>
      </c>
    </row>
    <row r="43" spans="1:23" ht="15">
      <c r="B43" s="628" t="s">
        <v>187</v>
      </c>
      <c r="C43" s="628"/>
      <c r="D43" s="628"/>
      <c r="E43" s="628"/>
      <c r="F43" s="628"/>
      <c r="G43" s="628"/>
      <c r="H43" s="628"/>
      <c r="I43" s="628"/>
      <c r="J43" s="628"/>
    </row>
  </sheetData>
  <mergeCells count="7">
    <mergeCell ref="B43:J43"/>
    <mergeCell ref="A1:V1"/>
    <mergeCell ref="B2:B3"/>
    <mergeCell ref="A2:A3"/>
    <mergeCell ref="C2:I2"/>
    <mergeCell ref="J2:P2"/>
    <mergeCell ref="Q2:W2"/>
  </mergeCells>
  <phoneticPr fontId="42" type="noConversion"/>
  <printOptions horizontalCentered="1"/>
  <pageMargins left="0.35433070866141736" right="0.15748031496062992" top="0.59055118110236227" bottom="0.27559055118110237" header="0" footer="0"/>
  <pageSetup paperSize="9" scale="52" orientation="landscape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W4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5" sqref="B5"/>
    </sheetView>
  </sheetViews>
  <sheetFormatPr defaultRowHeight="12.75"/>
  <cols>
    <col min="1" max="1" width="4.85546875" style="25" customWidth="1"/>
    <col min="2" max="2" width="34.7109375" customWidth="1"/>
    <col min="3" max="4" width="11" customWidth="1"/>
    <col min="5" max="15" width="11" style="14" customWidth="1"/>
    <col min="16" max="16" width="11" style="177" customWidth="1"/>
    <col min="17" max="18" width="11" style="14" customWidth="1"/>
    <col min="19" max="22" width="11" style="86" customWidth="1"/>
    <col min="23" max="23" width="9.140625" style="14"/>
  </cols>
  <sheetData>
    <row r="1" spans="1:23" ht="27" customHeight="1">
      <c r="A1" s="596" t="s">
        <v>107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</row>
    <row r="2" spans="1:23" ht="35.25" customHeight="1">
      <c r="A2" s="599" t="s">
        <v>0</v>
      </c>
      <c r="B2" s="599" t="s">
        <v>1</v>
      </c>
      <c r="C2" s="638" t="s">
        <v>163</v>
      </c>
      <c r="D2" s="639"/>
      <c r="E2" s="639"/>
      <c r="F2" s="639"/>
      <c r="G2" s="639"/>
      <c r="H2" s="639"/>
      <c r="I2" s="640"/>
      <c r="J2" s="611" t="s">
        <v>164</v>
      </c>
      <c r="K2" s="612"/>
      <c r="L2" s="612"/>
      <c r="M2" s="612"/>
      <c r="N2" s="612"/>
      <c r="O2" s="612"/>
      <c r="P2" s="613"/>
      <c r="Q2" s="614" t="s">
        <v>91</v>
      </c>
      <c r="R2" s="614"/>
      <c r="S2" s="614"/>
      <c r="T2" s="614"/>
      <c r="U2" s="614"/>
      <c r="V2" s="614"/>
      <c r="W2" s="614"/>
    </row>
    <row r="3" spans="1:23" ht="27" customHeight="1">
      <c r="A3" s="599"/>
      <c r="B3" s="599"/>
      <c r="C3" s="123" t="s">
        <v>3</v>
      </c>
      <c r="D3" s="123" t="s">
        <v>4</v>
      </c>
      <c r="E3" s="123" t="s">
        <v>5</v>
      </c>
      <c r="F3" s="123" t="s">
        <v>6</v>
      </c>
      <c r="G3" s="123" t="s">
        <v>7</v>
      </c>
      <c r="H3" s="123" t="s">
        <v>122</v>
      </c>
      <c r="I3" s="123" t="s">
        <v>139</v>
      </c>
      <c r="J3" s="1" t="s">
        <v>3</v>
      </c>
      <c r="K3" s="1" t="s">
        <v>4</v>
      </c>
      <c r="L3" s="1" t="s">
        <v>5</v>
      </c>
      <c r="M3" s="1" t="s">
        <v>6</v>
      </c>
      <c r="N3" s="1" t="s">
        <v>7</v>
      </c>
      <c r="O3" s="1" t="s">
        <v>122</v>
      </c>
      <c r="P3" s="1" t="s">
        <v>139</v>
      </c>
      <c r="Q3" s="123" t="s">
        <v>3</v>
      </c>
      <c r="R3" s="123" t="s">
        <v>4</v>
      </c>
      <c r="S3" s="251" t="s">
        <v>5</v>
      </c>
      <c r="T3" s="251" t="s">
        <v>6</v>
      </c>
      <c r="U3" s="251" t="s">
        <v>7</v>
      </c>
      <c r="V3" s="251" t="s">
        <v>122</v>
      </c>
      <c r="W3" s="251" t="s">
        <v>139</v>
      </c>
    </row>
    <row r="4" spans="1:23" ht="20.25" customHeight="1">
      <c r="A4" s="599"/>
      <c r="B4" s="122">
        <v>41834</v>
      </c>
      <c r="C4" s="123" t="s">
        <v>8</v>
      </c>
      <c r="D4" s="123" t="s">
        <v>8</v>
      </c>
      <c r="E4" s="123" t="s">
        <v>8</v>
      </c>
      <c r="F4" s="123" t="s">
        <v>8</v>
      </c>
      <c r="G4" s="123" t="s">
        <v>8</v>
      </c>
      <c r="H4" s="123" t="s">
        <v>50</v>
      </c>
      <c r="I4" s="123" t="s">
        <v>10</v>
      </c>
      <c r="J4" s="671" t="s">
        <v>81</v>
      </c>
      <c r="K4" s="672"/>
      <c r="L4" s="672"/>
      <c r="M4" s="672"/>
      <c r="N4" s="672"/>
      <c r="O4" s="672"/>
      <c r="P4" s="673"/>
      <c r="Q4" s="123" t="s">
        <v>8</v>
      </c>
      <c r="R4" s="123" t="s">
        <v>8</v>
      </c>
      <c r="S4" s="251" t="s">
        <v>8</v>
      </c>
      <c r="T4" s="251" t="s">
        <v>8</v>
      </c>
      <c r="U4" s="251" t="s">
        <v>8</v>
      </c>
      <c r="V4" s="251" t="s">
        <v>50</v>
      </c>
      <c r="W4" s="251" t="s">
        <v>10</v>
      </c>
    </row>
    <row r="5" spans="1:23" ht="19.5" customHeight="1">
      <c r="A5" s="3"/>
      <c r="B5" s="4" t="s">
        <v>11</v>
      </c>
      <c r="C5" s="124"/>
      <c r="D5" s="124"/>
      <c r="E5" s="124"/>
      <c r="F5" s="124"/>
      <c r="G5" s="124"/>
      <c r="H5" s="124"/>
      <c r="I5" s="124"/>
      <c r="J5" s="5"/>
      <c r="K5" s="5"/>
      <c r="L5" s="5"/>
      <c r="M5" s="5"/>
      <c r="N5" s="5"/>
      <c r="O5" s="5"/>
      <c r="P5" s="173"/>
      <c r="Q5" s="140"/>
      <c r="R5" s="140"/>
      <c r="S5" s="252"/>
      <c r="T5" s="252"/>
      <c r="U5" s="252"/>
      <c r="V5" s="252"/>
      <c r="W5" s="252"/>
    </row>
    <row r="6" spans="1:23" ht="19.5" customHeight="1">
      <c r="A6" s="3">
        <v>1</v>
      </c>
      <c r="B6" s="6" t="s">
        <v>12</v>
      </c>
      <c r="C6" s="146">
        <f ca="1">+'NON Plan Exp(%GSDP)'!C6</f>
        <v>1568.49</v>
      </c>
      <c r="D6" s="146">
        <f ca="1">+'NON Plan Exp(%GSDP)'!D6</f>
        <v>1893.07</v>
      </c>
      <c r="E6" s="146">
        <f ca="1">+'NON Plan Exp(%GSDP)'!E6</f>
        <v>2588.52</v>
      </c>
      <c r="F6" s="146">
        <f ca="1">+'NON Plan Exp(%GSDP)'!F6</f>
        <v>2555.91</v>
      </c>
      <c r="G6" s="146">
        <f ca="1">+'NON Plan Exp(%GSDP)'!G6</f>
        <v>2862.96</v>
      </c>
      <c r="H6" s="146">
        <f ca="1">+'NON Plan Exp(%GSDP)'!H6</f>
        <v>3202.67</v>
      </c>
      <c r="I6" s="146">
        <f ca="1">+'NON Plan Exp(%GSDP)'!I6</f>
        <v>3140.31</v>
      </c>
      <c r="J6" s="18">
        <f ca="1">+C6/'Per Capita Plan Expenditure'!J6</f>
        <v>12266.694256490233</v>
      </c>
      <c r="K6" s="18">
        <f ca="1">+D6/'Per Capita Plan Expenditure'!K6</f>
        <v>14465.086026473549</v>
      </c>
      <c r="L6" s="18">
        <f ca="1">+E6/'Per Capita Plan Expenditure'!L6</f>
        <v>19326.177968992728</v>
      </c>
      <c r="M6" s="18">
        <f ca="1">+F6/'Per Capita Plan Expenditure'!M6</f>
        <v>18646.902620618144</v>
      </c>
      <c r="N6" s="18">
        <f ca="1">+G6/'Per Capita Plan Expenditure'!N6</f>
        <v>20410.788190871932</v>
      </c>
      <c r="O6" s="18">
        <f ca="1">+H6/'Per Capita Plan Expenditure'!O6</f>
        <v>22309.939098820436</v>
      </c>
      <c r="P6" s="55">
        <f ca="1">+I6/'Per Capita Plan Expenditure'!P6</f>
        <v>21375.036991957546</v>
      </c>
      <c r="Q6" s="125">
        <f ca="1">+C6/'NON Plan Exp(%GSDP)'!J6*100</f>
        <v>32.608939708939708</v>
      </c>
      <c r="R6" s="125">
        <f ca="1">+D6/'NON Plan Exp(%GSDP)'!K6*100</f>
        <v>33.287673641638825</v>
      </c>
      <c r="S6" s="125">
        <f ca="1">+E6/'NON Plan Exp(%GSDP)'!L6*100</f>
        <v>34.633663366336634</v>
      </c>
      <c r="T6" s="125">
        <f ca="1">+F6/'NON Plan Exp(%GSDP)'!M6*100</f>
        <v>28.358038388993673</v>
      </c>
      <c r="U6" s="125">
        <f ca="1">+G6/'NON Plan Exp(%GSDP)'!N6*100</f>
        <v>26.960730765608815</v>
      </c>
      <c r="V6" s="125">
        <f ca="1">+H6/'NON Plan Exp(%GSDP)'!O6*100</f>
        <v>26.48804896203788</v>
      </c>
      <c r="W6" s="125">
        <f ca="1">+I6/'NON Plan Exp(%GSDP)'!P6*100</f>
        <v>23.466671648483036</v>
      </c>
    </row>
    <row r="7" spans="1:23" ht="19.5" customHeight="1">
      <c r="A7" s="3">
        <v>2</v>
      </c>
      <c r="B7" s="6" t="s">
        <v>13</v>
      </c>
      <c r="C7" s="146">
        <f ca="1">+'NON Plan Exp(%GSDP)'!C7</f>
        <v>10894.07</v>
      </c>
      <c r="D7" s="146">
        <f ca="1">+'NON Plan Exp(%GSDP)'!D7</f>
        <v>11250.93</v>
      </c>
      <c r="E7" s="146">
        <f ca="1">+'NON Plan Exp(%GSDP)'!E7</f>
        <v>15182.8</v>
      </c>
      <c r="F7" s="146">
        <f ca="1">+'NON Plan Exp(%GSDP)'!F7</f>
        <v>22779.57</v>
      </c>
      <c r="G7" s="146">
        <f ca="1">+'NON Plan Exp(%GSDP)'!G7</f>
        <v>22574.76</v>
      </c>
      <c r="H7" s="146">
        <f ca="1">+'NON Plan Exp(%GSDP)'!H7</f>
        <v>24515.759999999998</v>
      </c>
      <c r="I7" s="146">
        <f ca="1">+'NON Plan Exp(%GSDP)'!I7</f>
        <v>29738.62</v>
      </c>
      <c r="J7" s="18">
        <f ca="1">+C7/'Per Capita Plan Expenditure'!J7</f>
        <v>3720.3610776041833</v>
      </c>
      <c r="K7" s="18">
        <f ca="1">+D7/'Per Capita Plan Expenditure'!K7</f>
        <v>3793.281318307731</v>
      </c>
      <c r="L7" s="18">
        <f ca="1">+E7/'Per Capita Plan Expenditure'!L7</f>
        <v>5054.7595087562895</v>
      </c>
      <c r="M7" s="18">
        <f ca="1">+F7/'Per Capita Plan Expenditure'!M7</f>
        <v>7490.1133154123636</v>
      </c>
      <c r="N7" s="18">
        <f ca="1">+G7/'Per Capita Plan Expenditure'!N7</f>
        <v>7331.5723864224174</v>
      </c>
      <c r="O7" s="18">
        <f ca="1">+H7/'Per Capita Plan Expenditure'!O7</f>
        <v>7865.8997376118714</v>
      </c>
      <c r="P7" s="55">
        <f ca="1">+I7/'Per Capita Plan Expenditure'!P7</f>
        <v>9428.9563641338173</v>
      </c>
      <c r="Q7" s="125">
        <f ca="1">+C7/'NON Plan Exp(%GSDP)'!J7*100</f>
        <v>15.327353818447859</v>
      </c>
      <c r="R7" s="125">
        <f ca="1">+D7/'NON Plan Exp(%GSDP)'!K7*100</f>
        <v>13.877358956015492</v>
      </c>
      <c r="S7" s="125">
        <f ca="1">+E7/'NON Plan Exp(%GSDP)'!L7*100</f>
        <v>15.819536337587914</v>
      </c>
      <c r="T7" s="125">
        <f ca="1">+F7/'NON Plan Exp(%GSDP)'!M7*100</f>
        <v>20.214725614084909</v>
      </c>
      <c r="U7" s="125">
        <f ca="1">+G7/'NON Plan Exp(%GSDP)'!N7*100</f>
        <v>17.942107773009059</v>
      </c>
      <c r="V7" s="125">
        <f ca="1">+H7/'NON Plan Exp(%GSDP)'!O7*100</f>
        <v>17.310822547503545</v>
      </c>
      <c r="W7" s="125">
        <f ca="1">+I7/'NON Plan Exp(%GSDP)'!P7*100</f>
        <v>18.28358704473354</v>
      </c>
    </row>
    <row r="8" spans="1:23" ht="19.5" customHeight="1">
      <c r="A8" s="3">
        <v>3</v>
      </c>
      <c r="B8" s="6" t="s">
        <v>14</v>
      </c>
      <c r="C8" s="146">
        <f ca="1">+'NON Plan Exp(%GSDP)'!C8</f>
        <v>7194.53</v>
      </c>
      <c r="D8" s="146">
        <f ca="1">+'NON Plan Exp(%GSDP)'!D8</f>
        <v>8723.67</v>
      </c>
      <c r="E8" s="146">
        <f ca="1">+'NON Plan Exp(%GSDP)'!E8</f>
        <v>9964.66</v>
      </c>
      <c r="F8" s="146">
        <f ca="1">+'NON Plan Exp(%GSDP)'!F8</f>
        <v>12313.65</v>
      </c>
      <c r="G8" s="146">
        <f ca="1">+'NON Plan Exp(%GSDP)'!G8</f>
        <v>12257.95</v>
      </c>
      <c r="H8" s="146">
        <f ca="1">+'NON Plan Exp(%GSDP)'!H8</f>
        <v>14211.22</v>
      </c>
      <c r="I8" s="146">
        <f ca="1">+'NON Plan Exp(%GSDP)'!I8</f>
        <v>16114.26</v>
      </c>
      <c r="J8" s="18">
        <f ca="1">+C8/'Per Capita Plan Expenditure'!J8</f>
        <v>10955.400083603605</v>
      </c>
      <c r="K8" s="18">
        <f ca="1">+D8/'Per Capita Plan Expenditure'!K8</f>
        <v>13146.132368771023</v>
      </c>
      <c r="L8" s="18">
        <f ca="1">+E8/'Per Capita Plan Expenditure'!L8</f>
        <v>14868.310490167902</v>
      </c>
      <c r="M8" s="18">
        <f ca="1">+F8/'Per Capita Plan Expenditure'!M8</f>
        <v>18196.778272983902</v>
      </c>
      <c r="N8" s="18">
        <f ca="1">+G8/'Per Capita Plan Expenditure'!N8</f>
        <v>17762.545220299067</v>
      </c>
      <c r="O8" s="18">
        <f ca="1">+H8/'Per Capita Plan Expenditure'!O8</f>
        <v>20385.094946286885</v>
      </c>
      <c r="P8" s="55">
        <f ca="1">+I8/'Per Capita Plan Expenditure'!P8</f>
        <v>22884.009508423725</v>
      </c>
      <c r="Q8" s="125">
        <f ca="1">+C8/'NON Plan Exp(%GSDP)'!J8*100</f>
        <v>21.183434914465739</v>
      </c>
      <c r="R8" s="125">
        <f ca="1">+D8/'NON Plan Exp(%GSDP)'!K8*100</f>
        <v>21.02950606272449</v>
      </c>
      <c r="S8" s="125">
        <f ca="1">+E8/'NON Plan Exp(%GSDP)'!L8*100</f>
        <v>20.67828757600282</v>
      </c>
      <c r="T8" s="125">
        <f ca="1">+F8/'NON Plan Exp(%GSDP)'!M8*100</f>
        <v>21.432935319919235</v>
      </c>
      <c r="U8" s="125">
        <f ca="1">+G8/'NON Plan Exp(%GSDP)'!N8*100</f>
        <v>18.870868420647508</v>
      </c>
      <c r="V8" s="125">
        <f ca="1">+H8/'NON Plan Exp(%GSDP)'!O8*100</f>
        <v>19.279907746574413</v>
      </c>
      <c r="W8" s="125">
        <f ca="1">+I8/'NON Plan Exp(%GSDP)'!P8*100</f>
        <v>19.512332748077739</v>
      </c>
    </row>
    <row r="9" spans="1:23" ht="19.5" customHeight="1">
      <c r="A9" s="3">
        <v>4</v>
      </c>
      <c r="B9" s="6" t="s">
        <v>52</v>
      </c>
      <c r="C9" s="146">
        <f ca="1">+'NON Plan Exp(%GSDP)'!C9</f>
        <v>11741.88</v>
      </c>
      <c r="D9" s="146">
        <f ca="1">+'NON Plan Exp(%GSDP)'!D9</f>
        <v>12005.54</v>
      </c>
      <c r="E9" s="146">
        <f ca="1">+'NON Plan Exp(%GSDP)'!E9</f>
        <v>14918.37</v>
      </c>
      <c r="F9" s="146">
        <f ca="1">+'NON Plan Exp(%GSDP)'!F9</f>
        <v>17962.98</v>
      </c>
      <c r="G9" s="146">
        <f ca="1">+'NON Plan Exp(%GSDP)'!G9</f>
        <v>21923.06</v>
      </c>
      <c r="H9" s="146">
        <f ca="1">+'NON Plan Exp(%GSDP)'!H9</f>
        <v>23907.1</v>
      </c>
      <c r="I9" s="146">
        <f ca="1">+'NON Plan Exp(%GSDP)'!I9</f>
        <v>27767.58</v>
      </c>
      <c r="J9" s="18">
        <f ca="1">+C9/'Per Capita Plan Expenditure'!J9</f>
        <v>10491.247468749998</v>
      </c>
      <c r="K9" s="18">
        <f ca="1">+D9/'Per Capita Plan Expenditure'!K9</f>
        <v>10577.759535724703</v>
      </c>
      <c r="L9" s="18">
        <f ca="1">+E9/'Per Capita Plan Expenditure'!L9</f>
        <v>12965.627111421045</v>
      </c>
      <c r="M9" s="18">
        <f ca="1">+F9/'Per Capita Plan Expenditure'!M9</f>
        <v>15406.887146341463</v>
      </c>
      <c r="N9" s="18">
        <f ca="1">+G9/'Per Capita Plan Expenditure'!N9</f>
        <v>18569.338390959692</v>
      </c>
      <c r="O9" s="18">
        <f ca="1">+H9/'Per Capita Plan Expenditure'!O9</f>
        <v>20002.734633757958</v>
      </c>
      <c r="P9" s="55">
        <f ca="1">+I9/'Per Capita Plan Expenditure'!P9</f>
        <v>22956.104972467005</v>
      </c>
      <c r="Q9" s="125">
        <f ca="1">+C9/'NON Plan Exp(%GSDP)'!J9*100</f>
        <v>31.650125340305667</v>
      </c>
      <c r="R9" s="125">
        <f ca="1">+D9/'NON Plan Exp(%GSDP)'!K9*100</f>
        <v>28.371830320217416</v>
      </c>
      <c r="S9" s="125">
        <f ca="1">+E9/'NON Plan Exp(%GSDP)'!L9*100</f>
        <v>30.832634080810166</v>
      </c>
      <c r="T9" s="125">
        <f ca="1">+F9/'NON Plan Exp(%GSDP)'!M9*100</f>
        <v>30.931723864790868</v>
      </c>
      <c r="U9" s="125">
        <f ca="1">+G9/'NON Plan Exp(%GSDP)'!N9*100</f>
        <v>33.338493590230996</v>
      </c>
      <c r="V9" s="125">
        <f ca="1">+H9/'NON Plan Exp(%GSDP)'!O9*100</f>
        <v>31.634027575621243</v>
      </c>
      <c r="W9" s="125">
        <f ca="1">+I9/'NON Plan Exp(%GSDP)'!P9*100</f>
        <v>31.80015804120524</v>
      </c>
    </row>
    <row r="10" spans="1:23" ht="19.5" customHeight="1">
      <c r="A10" s="3">
        <v>5</v>
      </c>
      <c r="B10" s="6" t="s">
        <v>16</v>
      </c>
      <c r="C10" s="146">
        <f ca="1">+'NON Plan Exp(%GSDP)'!C10</f>
        <v>1814.77</v>
      </c>
      <c r="D10" s="146">
        <f ca="1">+'NON Plan Exp(%GSDP)'!D10</f>
        <v>2135.5700000000002</v>
      </c>
      <c r="E10" s="146">
        <f ca="1">+'NON Plan Exp(%GSDP)'!E10</f>
        <v>2303.9</v>
      </c>
      <c r="F10" s="146">
        <f ca="1">+'NON Plan Exp(%GSDP)'!F10</f>
        <v>2980.68</v>
      </c>
      <c r="G10" s="146">
        <f ca="1">+'NON Plan Exp(%GSDP)'!G10</f>
        <v>3922.69</v>
      </c>
      <c r="H10" s="146">
        <f ca="1">+'NON Plan Exp(%GSDP)'!H10</f>
        <v>4260.51</v>
      </c>
      <c r="I10" s="146">
        <f ca="1">+'NON Plan Exp(%GSDP)'!I10</f>
        <v>4734.1499999999996</v>
      </c>
      <c r="J10" s="18">
        <f ca="1">+C10/'Per Capita Plan Expenditure'!J10</f>
        <v>6928.1672359067625</v>
      </c>
      <c r="K10" s="18">
        <f ca="1">+D10/'Per Capita Plan Expenditure'!K10</f>
        <v>7998.8623540973704</v>
      </c>
      <c r="L10" s="18">
        <f ca="1">+E10/'Per Capita Plan Expenditure'!L10</f>
        <v>8467.7388090070544</v>
      </c>
      <c r="M10" s="18">
        <f ca="1">+F10/'Per Capita Plan Expenditure'!M10</f>
        <v>10752.375695760598</v>
      </c>
      <c r="N10" s="18">
        <f ca="1">+G10/'Per Capita Plan Expenditure'!N10</f>
        <v>13893.286055772569</v>
      </c>
      <c r="O10" s="18">
        <f ca="1">+H10/'Per Capita Plan Expenditure'!O10</f>
        <v>14815.315257889219</v>
      </c>
      <c r="P10" s="55">
        <f ca="1">+I10/'Per Capita Plan Expenditure'!P10</f>
        <v>16162.913236321105</v>
      </c>
      <c r="Q10" s="125">
        <f ca="1">+C10/'NON Plan Exp(%GSDP)'!J10*100</f>
        <v>26.754680819696297</v>
      </c>
      <c r="R10" s="125">
        <f ca="1">+D10/'NON Plan Exp(%GSDP)'!K10*100</f>
        <v>28.8629544533045</v>
      </c>
      <c r="S10" s="125">
        <f ca="1">+E10/'NON Plan Exp(%GSDP)'!L10*100</f>
        <v>27.91252725951054</v>
      </c>
      <c r="T10" s="125">
        <f ca="1">+F10/'NON Plan Exp(%GSDP)'!M10*100</f>
        <v>32.622086023859033</v>
      </c>
      <c r="U10" s="125">
        <f ca="1">+G10/'NON Plan Exp(%GSDP)'!N10*100</f>
        <v>37.344725818735718</v>
      </c>
      <c r="V10" s="125">
        <f ca="1">+H10/'NON Plan Exp(%GSDP)'!O10*100</f>
        <v>35.554619043645161</v>
      </c>
      <c r="W10" s="125">
        <f ca="1">+I10/'NON Plan Exp(%GSDP)'!P10*100</f>
        <v>35.242356716070709</v>
      </c>
    </row>
    <row r="11" spans="1:23" s="86" customFormat="1" ht="19.5" customHeight="1">
      <c r="A11" s="84">
        <v>6</v>
      </c>
      <c r="B11" s="85" t="s">
        <v>17</v>
      </c>
      <c r="C11" s="146">
        <f ca="1">+'NON Plan Exp(%GSDP)'!C11</f>
        <v>1543.82</v>
      </c>
      <c r="D11" s="146">
        <f ca="1">+'NON Plan Exp(%GSDP)'!D11</f>
        <v>1684.51</v>
      </c>
      <c r="E11" s="146">
        <f ca="1">+'NON Plan Exp(%GSDP)'!E11</f>
        <v>2152.4499999999998</v>
      </c>
      <c r="F11" s="146">
        <f ca="1">+'NON Plan Exp(%GSDP)'!F11</f>
        <v>2560.87</v>
      </c>
      <c r="G11" s="146">
        <f ca="1">+'NON Plan Exp(%GSDP)'!G11</f>
        <v>2896.23</v>
      </c>
      <c r="H11" s="146">
        <f ca="1">+'NON Plan Exp(%GSDP)'!H11</f>
        <v>3345.42</v>
      </c>
      <c r="I11" s="146">
        <f ca="1">+'NON Plan Exp(%GSDP)'!I11</f>
        <v>3498.75</v>
      </c>
      <c r="J11" s="18">
        <f ca="1">+C11/'Per Capita Plan Expenditure'!J11</f>
        <v>6131.0377978883862</v>
      </c>
      <c r="K11" s="18">
        <f ca="1">+D11/'Per Capita Plan Expenditure'!K11</f>
        <v>6610.8180379073583</v>
      </c>
      <c r="L11" s="18">
        <f ca="1">+E11/'Per Capita Plan Expenditure'!L11</f>
        <v>8349.307489660132</v>
      </c>
      <c r="M11" s="18">
        <f ca="1">+F11/'Per Capita Plan Expenditure'!M11</f>
        <v>9815.6720409274803</v>
      </c>
      <c r="N11" s="18">
        <f ca="1">+G11/'Per Capita Plan Expenditure'!N11</f>
        <v>10974.426365275272</v>
      </c>
      <c r="O11" s="18">
        <f ca="1">+H11/'Per Capita Plan Expenditure'!O11</f>
        <v>12534.37298287585</v>
      </c>
      <c r="P11" s="55">
        <f ca="1">+I11/'Per Capita Plan Expenditure'!P11</f>
        <v>12958.368876515442</v>
      </c>
      <c r="Q11" s="125">
        <f ca="1">+C11/'NON Plan Exp(%GSDP)'!J11*100</f>
        <v>15.858448895737032</v>
      </c>
      <c r="R11" s="125">
        <f ca="1">+D11/'NON Plan Exp(%GSDP)'!K11*100</f>
        <v>14.500387363346819</v>
      </c>
      <c r="S11" s="125">
        <f ca="1">+E11/'NON Plan Exp(%GSDP)'!L11*100</f>
        <v>16.936423007317646</v>
      </c>
      <c r="T11" s="125">
        <f ca="1">+F11/'NON Plan Exp(%GSDP)'!M11*100</f>
        <v>17.560652814921482</v>
      </c>
      <c r="U11" s="125">
        <f ca="1">+G11/'NON Plan Exp(%GSDP)'!N11*100</f>
        <v>17.647026565927369</v>
      </c>
      <c r="V11" s="125">
        <f ca="1">+H11/'NON Plan Exp(%GSDP)'!O11*100</f>
        <v>18.447311827956987</v>
      </c>
      <c r="W11" s="125">
        <f ca="1">+I11/'NON Plan Exp(%GSDP)'!P11*100</f>
        <v>16.814446366782008</v>
      </c>
    </row>
    <row r="12" spans="1:23" ht="19.5" customHeight="1">
      <c r="A12" s="3">
        <v>7</v>
      </c>
      <c r="B12" s="6" t="s">
        <v>18</v>
      </c>
      <c r="C12" s="146">
        <f ca="1">+'NON Plan Exp(%GSDP)'!C12</f>
        <v>1196.32</v>
      </c>
      <c r="D12" s="146">
        <f ca="1">+'NON Plan Exp(%GSDP)'!D12</f>
        <v>1633.53</v>
      </c>
      <c r="E12" s="146">
        <f ca="1">+'NON Plan Exp(%GSDP)'!E12</f>
        <v>1965.13</v>
      </c>
      <c r="F12" s="146">
        <f ca="1">+'NON Plan Exp(%GSDP)'!F12</f>
        <v>2142.02</v>
      </c>
      <c r="G12" s="146">
        <f ca="1">+'NON Plan Exp(%GSDP)'!G12</f>
        <v>2613.6999999999998</v>
      </c>
      <c r="H12" s="146">
        <f ca="1">+'NON Plan Exp(%GSDP)'!H12</f>
        <v>2875.5</v>
      </c>
      <c r="I12" s="146">
        <f ca="1">+'NON Plan Exp(%GSDP)'!I12</f>
        <v>3253.33</v>
      </c>
      <c r="J12" s="18">
        <f ca="1">+C12/'Per Capita Plan Expenditure'!J12</f>
        <v>11394.325464673117</v>
      </c>
      <c r="K12" s="18">
        <f ca="1">+D12/'Per Capita Plan Expenditure'!K12</f>
        <v>15172.088218584497</v>
      </c>
      <c r="L12" s="18">
        <f ca="1">+E12/'Per Capita Plan Expenditure'!L12</f>
        <v>17795.320744117027</v>
      </c>
      <c r="M12" s="18">
        <f ca="1">+F12/'Per Capita Plan Expenditure'!M12</f>
        <v>18910.043506583508</v>
      </c>
      <c r="N12" s="18">
        <f ca="1">+G12/'Per Capita Plan Expenditure'!N12</f>
        <v>22499.882655576093</v>
      </c>
      <c r="O12" s="18">
        <f ca="1">+H12/'Per Capita Plan Expenditure'!O12</f>
        <v>24132.144847565181</v>
      </c>
      <c r="P12" s="55">
        <f ca="1">+I12/'Per Capita Plan Expenditure'!P12</f>
        <v>26617.588434873356</v>
      </c>
      <c r="Q12" s="125">
        <f ca="1">+C12/'NON Plan Exp(%GSDP)'!J12*100</f>
        <v>31.350104821802933</v>
      </c>
      <c r="R12" s="125">
        <f ca="1">+D12/'NON Plan Exp(%GSDP)'!K12*100</f>
        <v>35.689971597116013</v>
      </c>
      <c r="S12" s="125">
        <f ca="1">+E12/'NON Plan Exp(%GSDP)'!L12*100</f>
        <v>37.359885931558942</v>
      </c>
      <c r="T12" s="125">
        <f ca="1">+F12/'NON Plan Exp(%GSDP)'!M12*100</f>
        <v>33.531934877896049</v>
      </c>
      <c r="U12" s="125">
        <f ca="1">+G12/'NON Plan Exp(%GSDP)'!N12*100</f>
        <v>36.311475409836063</v>
      </c>
      <c r="V12" s="125">
        <f ca="1">+H12/'NON Plan Exp(%GSDP)'!O12*100</f>
        <v>35.707189867130261</v>
      </c>
      <c r="W12" s="125">
        <f ca="1">+I12/'NON Plan Exp(%GSDP)'!P12*100</f>
        <v>34.735206647233355</v>
      </c>
    </row>
    <row r="13" spans="1:23" ht="19.5" customHeight="1">
      <c r="A13" s="3">
        <v>8</v>
      </c>
      <c r="B13" s="6" t="s">
        <v>19</v>
      </c>
      <c r="C13" s="146">
        <f ca="1">+'NON Plan Exp(%GSDP)'!C13</f>
        <v>2186.19</v>
      </c>
      <c r="D13" s="146">
        <f ca="1">+'NON Plan Exp(%GSDP)'!D13</f>
        <v>2449.83</v>
      </c>
      <c r="E13" s="146">
        <f ca="1">+'NON Plan Exp(%GSDP)'!E13</f>
        <v>2951.58</v>
      </c>
      <c r="F13" s="146">
        <f ca="1">+'NON Plan Exp(%GSDP)'!F13</f>
        <v>3568.24</v>
      </c>
      <c r="G13" s="146">
        <f ca="1">+'NON Plan Exp(%GSDP)'!G13</f>
        <v>4408.29</v>
      </c>
      <c r="H13" s="146">
        <f ca="1">+'NON Plan Exp(%GSDP)'!H13</f>
        <v>4950.5</v>
      </c>
      <c r="I13" s="146">
        <f ca="1">+'NON Plan Exp(%GSDP)'!I13</f>
        <v>5338.68</v>
      </c>
      <c r="J13" s="18">
        <f ca="1">+C13/'Per Capita Plan Expenditure'!J13</f>
        <v>11691.090151330391</v>
      </c>
      <c r="K13" s="18">
        <f ca="1">+D13/'Per Capita Plan Expenditure'!K13</f>
        <v>12886.854047553345</v>
      </c>
      <c r="L13" s="18">
        <f ca="1">+E13/'Per Capita Plan Expenditure'!L13</f>
        <v>15277.077480810325</v>
      </c>
      <c r="M13" s="18">
        <f ca="1">+F13/'Per Capita Plan Expenditure'!M13</f>
        <v>18279.27781445947</v>
      </c>
      <c r="N13" s="18">
        <f ca="1">+G13/'Per Capita Plan Expenditure'!N13</f>
        <v>21910.547337039465</v>
      </c>
      <c r="O13" s="18">
        <f ca="1">+H13/'Per Capita Plan Expenditure'!O13</f>
        <v>23847.088560092878</v>
      </c>
      <c r="P13" s="55">
        <f ca="1">+I13/'Per Capita Plan Expenditure'!P13</f>
        <v>24924.325812041388</v>
      </c>
      <c r="Q13" s="125">
        <f ca="1">+C13/'NON Plan Exp(%GSDP)'!J13*100</f>
        <v>27.073560371517029</v>
      </c>
      <c r="R13" s="125">
        <f ca="1">+D13/'NON Plan Exp(%GSDP)'!K13*100</f>
        <v>25.962590080542604</v>
      </c>
      <c r="S13" s="125">
        <f ca="1">+E13/'NON Plan Exp(%GSDP)'!L13*100</f>
        <v>28.038187517811341</v>
      </c>
      <c r="T13" s="125">
        <f ca="1">+F13/'NON Plan Exp(%GSDP)'!M13*100</f>
        <v>30.344757207245511</v>
      </c>
      <c r="U13" s="125">
        <f ca="1">+G13/'NON Plan Exp(%GSDP)'!N13*100</f>
        <v>33.388548057259712</v>
      </c>
      <c r="V13" s="125">
        <f ca="1">+H13/'NON Plan Exp(%GSDP)'!O13*100</f>
        <v>33.377157497303131</v>
      </c>
      <c r="W13" s="125">
        <f ca="1">+I13/'NON Plan Exp(%GSDP)'!P13*100</f>
        <v>31.962004507740367</v>
      </c>
    </row>
    <row r="14" spans="1:23" ht="19.5" customHeight="1">
      <c r="A14" s="3">
        <v>9</v>
      </c>
      <c r="B14" s="6" t="s">
        <v>20</v>
      </c>
      <c r="C14" s="146">
        <f ca="1">+'NON Plan Exp(%GSDP)'!C14</f>
        <v>727.08</v>
      </c>
      <c r="D14" s="146">
        <f ca="1">+'NON Plan Exp(%GSDP)'!D14</f>
        <v>863.07</v>
      </c>
      <c r="E14" s="146">
        <f ca="1">+'NON Plan Exp(%GSDP)'!E14</f>
        <v>1256.67</v>
      </c>
      <c r="F14" s="146">
        <f ca="1">+'NON Plan Exp(%GSDP)'!F14</f>
        <v>1336.64</v>
      </c>
      <c r="G14" s="146">
        <f ca="1">+'NON Plan Exp(%GSDP)'!G14</f>
        <v>1681.23</v>
      </c>
      <c r="H14" s="146">
        <f ca="1">+'NON Plan Exp(%GSDP)'!H14</f>
        <v>1696.87</v>
      </c>
      <c r="I14" s="146">
        <f ca="1">+'NON Plan Exp(%GSDP)'!I14</f>
        <v>2022.59</v>
      </c>
      <c r="J14" s="18">
        <f ca="1">+C14/'Per Capita Plan Expenditure'!J14</f>
        <v>12389.198103598554</v>
      </c>
      <c r="K14" s="18">
        <f ca="1">+D14/'Per Capita Plan Expenditure'!K14</f>
        <v>14502.792186247803</v>
      </c>
      <c r="L14" s="18">
        <f ca="1">+E14/'Per Capita Plan Expenditure'!L14</f>
        <v>20875.322774385048</v>
      </c>
      <c r="M14" s="18">
        <f ca="1">+F14/'Per Capita Plan Expenditure'!M14</f>
        <v>21949.485206891593</v>
      </c>
      <c r="N14" s="18">
        <f ca="1">+G14/'Per Capita Plan Expenditure'!N14</f>
        <v>27246.985967918834</v>
      </c>
      <c r="O14" s="18">
        <f ca="1">+H14/'Per Capita Plan Expenditure'!O14</f>
        <v>27235.628557943241</v>
      </c>
      <c r="P14" s="55">
        <f ca="1">+I14/'Per Capita Plan Expenditure'!P14</f>
        <v>32150.977435603611</v>
      </c>
      <c r="Q14" s="125">
        <f ca="1">+C14/'NON Plan Exp(%GSDP)'!J14*100</f>
        <v>29.013567438148446</v>
      </c>
      <c r="R14" s="125">
        <f ca="1">+D14/'NON Plan Exp(%GSDP)'!K14*100</f>
        <v>26.72870857850728</v>
      </c>
      <c r="S14" s="125">
        <f ca="1">+E14/'NON Plan Exp(%GSDP)'!L14*100</f>
        <v>20.490298385781838</v>
      </c>
      <c r="T14" s="125">
        <f ca="1">+F14/'NON Plan Exp(%GSDP)'!M14*100</f>
        <v>18.033459255261739</v>
      </c>
      <c r="U14" s="125">
        <f ca="1">+G14/'NON Plan Exp(%GSDP)'!N14*100</f>
        <v>19.512883008356546</v>
      </c>
      <c r="V14" s="125">
        <f ca="1">+H14/'NON Plan Exp(%GSDP)'!O14*100</f>
        <v>17.041980516219741</v>
      </c>
      <c r="W14" s="125">
        <f ca="1">+I14/'NON Plan Exp(%GSDP)'!P14*100</f>
        <v>15.251123789860038</v>
      </c>
    </row>
    <row r="15" spans="1:23" ht="19.5" customHeight="1">
      <c r="A15" s="3">
        <v>10</v>
      </c>
      <c r="B15" s="6" t="s">
        <v>21</v>
      </c>
      <c r="C15" s="146">
        <f ca="1">+'NON Plan Exp(%GSDP)'!C15</f>
        <v>2293.4299999999998</v>
      </c>
      <c r="D15" s="146">
        <f ca="1">+'NON Plan Exp(%GSDP)'!D15</f>
        <v>2554.19</v>
      </c>
      <c r="E15" s="146">
        <f ca="1">+'NON Plan Exp(%GSDP)'!E15</f>
        <v>3486.24</v>
      </c>
      <c r="F15" s="146">
        <f ca="1">+'NON Plan Exp(%GSDP)'!F15</f>
        <v>3531.46</v>
      </c>
      <c r="G15" s="146">
        <f ca="1">+'NON Plan Exp(%GSDP)'!G15</f>
        <v>3823.51</v>
      </c>
      <c r="H15" s="146">
        <f ca="1">+'NON Plan Exp(%GSDP)'!H15</f>
        <v>4026.41</v>
      </c>
      <c r="I15" s="146">
        <f ca="1">+'NON Plan Exp(%GSDP)'!I15</f>
        <v>5226.57</v>
      </c>
      <c r="J15" s="18">
        <f ca="1">+C15/'Per Capita Plan Expenditure'!J15</f>
        <v>6601.7533038865004</v>
      </c>
      <c r="K15" s="18">
        <f ca="1">+D15/'Per Capita Plan Expenditure'!K15</f>
        <v>7266.5433854907542</v>
      </c>
      <c r="L15" s="18">
        <f ca="1">+E15/'Per Capita Plan Expenditure'!L15</f>
        <v>9801.303619147835</v>
      </c>
      <c r="M15" s="18">
        <f ca="1">+F15/'Per Capita Plan Expenditure'!M15</f>
        <v>9812.5913492902073</v>
      </c>
      <c r="N15" s="18">
        <f ca="1">+G15/'Per Capita Plan Expenditure'!N15</f>
        <v>10501.044030639845</v>
      </c>
      <c r="O15" s="18">
        <f ca="1">+H15/'Per Capita Plan Expenditure'!O15</f>
        <v>10932.224903296923</v>
      </c>
      <c r="P15" s="55">
        <f ca="1">+I15/'Per Capita Plan Expenditure'!P15</f>
        <v>14029.030050780615</v>
      </c>
      <c r="Q15" s="125">
        <f ca="1">+C15/'NON Plan Exp(%GSDP)'!J15*100</f>
        <v>19.440790031363907</v>
      </c>
      <c r="R15" s="125">
        <f ca="1">+D15/'NON Plan Exp(%GSDP)'!K15*100</f>
        <v>18.818168422603698</v>
      </c>
      <c r="S15" s="125">
        <f ca="1">+E15/'NON Plan Exp(%GSDP)'!L15*100</f>
        <v>22.633512952022333</v>
      </c>
      <c r="T15" s="125">
        <f ca="1">+F15/'NON Plan Exp(%GSDP)'!M15*100</f>
        <v>19.764159391090217</v>
      </c>
      <c r="U15" s="125">
        <f ca="1">+G15/'NON Plan Exp(%GSDP)'!N15*100</f>
        <v>18.22281002764274</v>
      </c>
      <c r="V15" s="125">
        <f ca="1">+H15/'NON Plan Exp(%GSDP)'!O15*100</f>
        <v>16.878683714106057</v>
      </c>
      <c r="W15" s="125">
        <f ca="1">+I15/'NON Plan Exp(%GSDP)'!P15*100</f>
        <v>19.006136235600664</v>
      </c>
    </row>
    <row r="16" spans="1:23" ht="19.5" customHeight="1">
      <c r="A16" s="3">
        <v>11</v>
      </c>
      <c r="B16" s="6" t="s">
        <v>22</v>
      </c>
      <c r="C16" s="146">
        <f ca="1">+'NON Plan Exp(%GSDP)'!C16</f>
        <v>6300.43</v>
      </c>
      <c r="D16" s="146">
        <f ca="1">+'NON Plan Exp(%GSDP)'!D16</f>
        <v>7372.25</v>
      </c>
      <c r="E16" s="146">
        <f ca="1">+'NON Plan Exp(%GSDP)'!E16</f>
        <v>10386.799999999999</v>
      </c>
      <c r="F16" s="146">
        <f ca="1">+'NON Plan Exp(%GSDP)'!F16</f>
        <v>10348.56</v>
      </c>
      <c r="G16" s="146">
        <f ca="1">+'NON Plan Exp(%GSDP)'!G16</f>
        <v>12838.36</v>
      </c>
      <c r="H16" s="146">
        <f ca="1">+'NON Plan Exp(%GSDP)'!H16</f>
        <v>13751.16</v>
      </c>
      <c r="I16" s="146">
        <f ca="1">+'NON Plan Exp(%GSDP)'!I16</f>
        <v>16619.46</v>
      </c>
      <c r="J16" s="18">
        <f ca="1">+C16/'Per Capita Plan Expenditure'!J16</f>
        <v>6666.3765308079737</v>
      </c>
      <c r="K16" s="18">
        <f ca="1">+D16/'Per Capita Plan Expenditure'!K16</f>
        <v>7681.8102733448241</v>
      </c>
      <c r="L16" s="18">
        <f ca="1">+E16/'Per Capita Plan Expenditure'!L16</f>
        <v>10661.890362641438</v>
      </c>
      <c r="M16" s="18">
        <f ca="1">+F16/'Per Capita Plan Expenditure'!M16</f>
        <v>10468.964651774701</v>
      </c>
      <c r="N16" s="18">
        <f ca="1">+G16/'Per Capita Plan Expenditure'!N16</f>
        <v>12803.752812025474</v>
      </c>
      <c r="O16" s="18">
        <f ca="1">+H16/'Per Capita Plan Expenditure'!O16</f>
        <v>13525.249175348185</v>
      </c>
      <c r="P16" s="55">
        <f ca="1">+I16/'Per Capita Plan Expenditure'!P16</f>
        <v>16126.045576690714</v>
      </c>
      <c r="Q16" s="125">
        <f ca="1">+C16/'NON Plan Exp(%GSDP)'!J16*100</f>
        <v>13.739597871598047</v>
      </c>
      <c r="R16" s="125">
        <f ca="1">+D16/'NON Plan Exp(%GSDP)'!K16*100</f>
        <v>13.158857652833555</v>
      </c>
      <c r="S16" s="125">
        <f ca="1">+E16/'NON Plan Exp(%GSDP)'!L16*100</f>
        <v>14.685140675809416</v>
      </c>
      <c r="T16" s="125">
        <f ca="1">+F16/'NON Plan Exp(%GSDP)'!M16*100</f>
        <v>12.324262525455824</v>
      </c>
      <c r="U16" s="125">
        <f ca="1">+G16/'NON Plan Exp(%GSDP)'!N16*100</f>
        <v>13.141131673763512</v>
      </c>
      <c r="V16" s="125">
        <f ca="1">+H16/'NON Plan Exp(%GSDP)'!O16*100</f>
        <v>12.066866740378034</v>
      </c>
      <c r="W16" s="125">
        <f ca="1">+I16/'NON Plan Exp(%GSDP)'!P16*100</f>
        <v>12.498747828441214</v>
      </c>
    </row>
    <row r="17" spans="1:23" s="75" customFormat="1" ht="19.5" customHeight="1">
      <c r="A17" s="72"/>
      <c r="B17" s="4" t="s">
        <v>23</v>
      </c>
      <c r="C17" s="147">
        <f t="shared" ref="C17:I17" si="0">SUM(C6:C16)</f>
        <v>47461.01</v>
      </c>
      <c r="D17" s="147">
        <f t="shared" si="0"/>
        <v>52566.16</v>
      </c>
      <c r="E17" s="147">
        <f t="shared" si="0"/>
        <v>67157.119999999995</v>
      </c>
      <c r="F17" s="147">
        <f t="shared" si="0"/>
        <v>82080.58</v>
      </c>
      <c r="G17" s="147">
        <f t="shared" si="0"/>
        <v>91802.739999999976</v>
      </c>
      <c r="H17" s="147">
        <f t="shared" si="0"/>
        <v>100743.12</v>
      </c>
      <c r="I17" s="147">
        <f t="shared" si="0"/>
        <v>117454.29999999999</v>
      </c>
      <c r="J17" s="66">
        <f ca="1">+C17/'Per Capita Plan Expenditure'!J17</f>
        <v>6790.8776461389789</v>
      </c>
      <c r="K17" s="66">
        <f ca="1">+D17/'Per Capita Plan Expenditure'!K17</f>
        <v>7418.5881241281577</v>
      </c>
      <c r="L17" s="66">
        <f ca="1">+E17/'Per Capita Plan Expenditure'!L17</f>
        <v>9350.744569223627</v>
      </c>
      <c r="M17" s="66">
        <f ca="1">+F17/'Per Capita Plan Expenditure'!M17</f>
        <v>11279.719809013379</v>
      </c>
      <c r="N17" s="66">
        <f ca="1">+G17/'Per Capita Plan Expenditure'!N17</f>
        <v>12435.664422130236</v>
      </c>
      <c r="O17" s="66">
        <f ca="1">+H17/'Per Capita Plan Expenditure'!O17</f>
        <v>13466.290128443352</v>
      </c>
      <c r="P17" s="242">
        <f ca="1">+I17/'Per Capita Plan Expenditure'!P17</f>
        <v>15495.229011773492</v>
      </c>
      <c r="Q17" s="126">
        <f ca="1">+C17/'NON Plan Exp(%GSDP)'!J17*100</f>
        <v>20.15192598379728</v>
      </c>
      <c r="R17" s="126">
        <f ca="1">+D17/'NON Plan Exp(%GSDP)'!K17*100</f>
        <v>19.017115568981424</v>
      </c>
      <c r="S17" s="126">
        <f ca="1">+E17/'NON Plan Exp(%GSDP)'!L17*100</f>
        <v>20.410079048380283</v>
      </c>
      <c r="T17" s="126">
        <f ca="1">+F17/'NON Plan Exp(%GSDP)'!M17*100</f>
        <v>21.136158334663776</v>
      </c>
      <c r="U17" s="126">
        <f ca="1">+G17/'NON Plan Exp(%GSDP)'!N17*100</f>
        <v>20.780852306424663</v>
      </c>
      <c r="V17" s="126">
        <f ca="1">+H17/'NON Plan Exp(%GSDP)'!O17*100</f>
        <v>19.997879980705441</v>
      </c>
      <c r="W17" s="126">
        <f ca="1">+I17/'NON Plan Exp(%GSDP)'!P17*100</f>
        <v>20.251484711821888</v>
      </c>
    </row>
    <row r="18" spans="1:23" ht="19.5" customHeight="1">
      <c r="A18" s="3"/>
      <c r="B18" s="4" t="s">
        <v>189</v>
      </c>
      <c r="C18" s="147"/>
      <c r="D18" s="147"/>
      <c r="E18" s="126"/>
      <c r="F18" s="126"/>
      <c r="G18" s="126"/>
      <c r="H18" s="126"/>
      <c r="I18" s="126"/>
      <c r="J18" s="87"/>
      <c r="K18" s="87"/>
      <c r="L18" s="87"/>
      <c r="M18" s="87"/>
      <c r="N18" s="87"/>
      <c r="O18" s="87"/>
      <c r="P18" s="175"/>
      <c r="Q18" s="125"/>
      <c r="R18" s="125"/>
      <c r="S18" s="125"/>
      <c r="T18" s="125"/>
      <c r="U18" s="125"/>
      <c r="V18" s="125"/>
      <c r="W18" s="125"/>
    </row>
    <row r="19" spans="1:23" ht="19.5" customHeight="1">
      <c r="A19" s="3">
        <v>12</v>
      </c>
      <c r="B19" s="6" t="s">
        <v>25</v>
      </c>
      <c r="C19" s="146">
        <f ca="1">+'NON Plan Exp(%GSDP)'!C19</f>
        <v>40690.78</v>
      </c>
      <c r="D19" s="146">
        <f ca="1">+'NON Plan Exp(%GSDP)'!D19</f>
        <v>42933.41</v>
      </c>
      <c r="E19" s="146">
        <f ca="1">+'NON Plan Exp(%GSDP)'!E19</f>
        <v>47920.55</v>
      </c>
      <c r="F19" s="146">
        <f ca="1">+'NON Plan Exp(%GSDP)'!F19</f>
        <v>58938.62</v>
      </c>
      <c r="G19" s="146">
        <f ca="1">+'NON Plan Exp(%GSDP)'!G19</f>
        <v>67147.45</v>
      </c>
      <c r="H19" s="146">
        <f ca="1">+'NON Plan Exp(%GSDP)'!H19</f>
        <v>78050.990000000005</v>
      </c>
      <c r="I19" s="146">
        <f ca="1">+'NON Plan Exp(%GSDP)'!I19</f>
        <v>93299.520000000004</v>
      </c>
      <c r="J19" s="18">
        <f ca="1">+C19/'Per Capita Plan Expenditure'!J19</f>
        <v>4959.320353576315</v>
      </c>
      <c r="K19" s="18">
        <f ca="1">+D19/'Per Capita Plan Expenditure'!K19</f>
        <v>5181.5641712067672</v>
      </c>
      <c r="L19" s="18">
        <f ca="1">+E19/'Per Capita Plan Expenditure'!L19</f>
        <v>5728.76972412336</v>
      </c>
      <c r="M19" s="18">
        <f ca="1">+F19/'Per Capita Plan Expenditure'!M19</f>
        <v>6981.0971754739448</v>
      </c>
      <c r="N19" s="18">
        <f ca="1">+G19/'Per Capita Plan Expenditure'!N19</f>
        <v>7882.2725172177134</v>
      </c>
      <c r="O19" s="18">
        <f ca="1">+H19/'Per Capita Plan Expenditure'!O19</f>
        <v>9082.5627105790045</v>
      </c>
      <c r="P19" s="55">
        <f ca="1">+I19/'Per Capita Plan Expenditure'!P19</f>
        <v>10765.784514276547</v>
      </c>
      <c r="Q19" s="125">
        <f ca="1">+C19/'NON Plan Exp(%GSDP)'!J19*100</f>
        <v>11.153873354293843</v>
      </c>
      <c r="R19" s="125">
        <f ca="1">+D19/'NON Plan Exp(%GSDP)'!K19*100</f>
        <v>10.060199407167881</v>
      </c>
      <c r="S19" s="125">
        <f ca="1">+E19/'NON Plan Exp(%GSDP)'!L19*100</f>
        <v>10.049713213165981</v>
      </c>
      <c r="T19" s="125">
        <f ca="1">+F19/'NON Plan Exp(%GSDP)'!M19*100</f>
        <v>10.096344058023647</v>
      </c>
      <c r="U19" s="125">
        <f ca="1">+G19/'NON Plan Exp(%GSDP)'!N19*100</f>
        <v>10.134056855500821</v>
      </c>
      <c r="V19" s="125">
        <f ca="1">+H19/'NON Plan Exp(%GSDP)'!O19*100</f>
        <v>10.345978110017246</v>
      </c>
      <c r="W19" s="125">
        <f ca="1">+I19/'NON Plan Exp(%GSDP)'!P19*100</f>
        <v>10.882136408806527</v>
      </c>
    </row>
    <row r="20" spans="1:23" ht="19.5" customHeight="1">
      <c r="A20" s="3">
        <v>13</v>
      </c>
      <c r="B20" s="6" t="s">
        <v>26</v>
      </c>
      <c r="C20" s="146">
        <f ca="1">+'NON Plan Exp(%GSDP)'!C20</f>
        <v>18993.64</v>
      </c>
      <c r="D20" s="146">
        <f ca="1">+'NON Plan Exp(%GSDP)'!D20</f>
        <v>21685.24</v>
      </c>
      <c r="E20" s="146">
        <f ca="1">+'NON Plan Exp(%GSDP)'!E20</f>
        <v>24618.86</v>
      </c>
      <c r="F20" s="146">
        <f ca="1">+'NON Plan Exp(%GSDP)'!F20</f>
        <v>27603.95</v>
      </c>
      <c r="G20" s="146">
        <f ca="1">+'NON Plan Exp(%GSDP)'!G20</f>
        <v>34272.97</v>
      </c>
      <c r="H20" s="146">
        <f ca="1">+'NON Plan Exp(%GSDP)'!H20</f>
        <v>37755.46</v>
      </c>
      <c r="I20" s="146">
        <f ca="1">+'NON Plan Exp(%GSDP)'!I20</f>
        <v>49842.9</v>
      </c>
      <c r="J20" s="18">
        <f ca="1">+C20/'Per Capita Plan Expenditure'!J20</f>
        <v>2040.7641550562455</v>
      </c>
      <c r="K20" s="18">
        <f ca="1">+D20/'Per Capita Plan Expenditure'!K20</f>
        <v>2295.4350737913487</v>
      </c>
      <c r="L20" s="18">
        <f ca="1">+E20/'Per Capita Plan Expenditure'!L20</f>
        <v>2568.5358214536423</v>
      </c>
      <c r="M20" s="18">
        <f ca="1">+F20/'Per Capita Plan Expenditure'!M20</f>
        <v>2840.1964223853624</v>
      </c>
      <c r="N20" s="18">
        <f ca="1">+G20/'Per Capita Plan Expenditure'!N20</f>
        <v>3479.3205331318895</v>
      </c>
      <c r="O20" s="18">
        <f ca="1">+H20/'Per Capita Plan Expenditure'!O20</f>
        <v>3783.580223662535</v>
      </c>
      <c r="P20" s="55">
        <f ca="1">+I20/'Per Capita Plan Expenditure'!P20</f>
        <v>4933.1873745769935</v>
      </c>
      <c r="Q20" s="125">
        <f ca="1">+C20/'NON Plan Exp(%GSDP)'!J20*100</f>
        <v>16.707987332864178</v>
      </c>
      <c r="R20" s="125">
        <f ca="1">+D20/'NON Plan Exp(%GSDP)'!K20*100</f>
        <v>15.241349742407525</v>
      </c>
      <c r="S20" s="125">
        <f ca="1">+E20/'NON Plan Exp(%GSDP)'!L20*100</f>
        <v>15.110640544057352</v>
      </c>
      <c r="T20" s="125">
        <f ca="1">+F20/'NON Plan Exp(%GSDP)'!M20*100</f>
        <v>13.512205747739722</v>
      </c>
      <c r="U20" s="125">
        <f ca="1">+G20/'NON Plan Exp(%GSDP)'!N20*100</f>
        <v>13.857855069182188</v>
      </c>
      <c r="V20" s="125">
        <f ca="1">+H20/'NON Plan Exp(%GSDP)'!O20*100</f>
        <v>12.024223315657892</v>
      </c>
      <c r="W20" s="125">
        <f ca="1">+I20/'NON Plan Exp(%GSDP)'!P20*100</f>
        <v>13.531874343332328</v>
      </c>
    </row>
    <row r="21" spans="1:23" ht="19.5" customHeight="1">
      <c r="A21" s="3">
        <v>14</v>
      </c>
      <c r="B21" s="6" t="s">
        <v>27</v>
      </c>
      <c r="C21" s="146">
        <f ca="1">+'NON Plan Exp(%GSDP)'!C21</f>
        <v>7293.77</v>
      </c>
      <c r="D21" s="146">
        <f ca="1">+'NON Plan Exp(%GSDP)'!D21</f>
        <v>8385.68</v>
      </c>
      <c r="E21" s="146">
        <f ca="1">+'NON Plan Exp(%GSDP)'!E21</f>
        <v>10460.92</v>
      </c>
      <c r="F21" s="146">
        <f ca="1">+'NON Plan Exp(%GSDP)'!F21</f>
        <v>11299.72</v>
      </c>
      <c r="G21" s="146">
        <f ca="1">+'NON Plan Exp(%GSDP)'!G21</f>
        <v>12638.44</v>
      </c>
      <c r="H21" s="146">
        <f ca="1">+'NON Plan Exp(%GSDP)'!H21</f>
        <v>14542.17</v>
      </c>
      <c r="I21" s="146">
        <f ca="1">+'NON Plan Exp(%GSDP)'!I21</f>
        <v>19470.330000000002</v>
      </c>
      <c r="J21" s="18">
        <f ca="1">+C21/'Per Capita Plan Expenditure'!J21</f>
        <v>3090.5737451760465</v>
      </c>
      <c r="K21" s="18">
        <f ca="1">+D21/'Per Capita Plan Expenditure'!K21</f>
        <v>3479.5235044439864</v>
      </c>
      <c r="L21" s="18">
        <f ca="1">+E21/'Per Capita Plan Expenditure'!L21</f>
        <v>4269.7561668173139</v>
      </c>
      <c r="M21" s="18">
        <f ca="1">+F21/'Per Capita Plan Expenditure'!M21</f>
        <v>4519.8735064225739</v>
      </c>
      <c r="N21" s="18">
        <f ca="1">+G21/'Per Capita Plan Expenditure'!N21</f>
        <v>4956.2518538403901</v>
      </c>
      <c r="O21" s="18">
        <f ca="1">+H21/'Per Capita Plan Expenditure'!O21</f>
        <v>5593.1495221312307</v>
      </c>
      <c r="P21" s="55">
        <f ca="1">+I21/'Per Capita Plan Expenditure'!P21</f>
        <v>7347.3128266865269</v>
      </c>
      <c r="Q21" s="125">
        <f ca="1">+C21/'NON Plan Exp(%GSDP)'!J21*100</f>
        <v>9.0882437231325142</v>
      </c>
      <c r="R21" s="125">
        <f ca="1">+D21/'NON Plan Exp(%GSDP)'!K21*100</f>
        <v>8.6475271212308709</v>
      </c>
      <c r="S21" s="125">
        <f ca="1">+E21/'NON Plan Exp(%GSDP)'!L21*100</f>
        <v>10.527877299625619</v>
      </c>
      <c r="T21" s="125">
        <f ca="1">+F21/'NON Plan Exp(%GSDP)'!M21*100</f>
        <v>9.4621671411823822</v>
      </c>
      <c r="U21" s="125">
        <f ca="1">+G21/'NON Plan Exp(%GSDP)'!N21*100</f>
        <v>9.5117406225540382</v>
      </c>
      <c r="V21" s="125">
        <f ca="1">+H21/'NON Plan Exp(%GSDP)'!O21*100</f>
        <v>9.4662643779170814</v>
      </c>
      <c r="W21" s="125">
        <f ca="1">+I21/'NON Plan Exp(%GSDP)'!P21*100</f>
        <v>11.065139434306467</v>
      </c>
    </row>
    <row r="22" spans="1:23" s="20" customFormat="1" ht="19.5" customHeight="1">
      <c r="A22" s="3">
        <v>15</v>
      </c>
      <c r="B22" s="6" t="s">
        <v>28</v>
      </c>
      <c r="C22" s="146">
        <f ca="1">+'NON Plan Exp(%GSDP)'!C22</f>
        <v>1575.66</v>
      </c>
      <c r="D22" s="146">
        <f ca="1">+'NON Plan Exp(%GSDP)'!D22</f>
        <v>1997.3</v>
      </c>
      <c r="E22" s="146">
        <f ca="1">+'NON Plan Exp(%GSDP)'!E22</f>
        <v>2659.74</v>
      </c>
      <c r="F22" s="146">
        <f ca="1">+'NON Plan Exp(%GSDP)'!F22</f>
        <v>4070.0000000000005</v>
      </c>
      <c r="G22" s="146">
        <f ca="1">+'NON Plan Exp(%GSDP)'!G22</f>
        <v>4646.08</v>
      </c>
      <c r="H22" s="146">
        <f ca="1">+'NON Plan Exp(%GSDP)'!H22</f>
        <v>5499.91</v>
      </c>
      <c r="I22" s="146">
        <f ca="1">+'NON Plan Exp(%GSDP)'!I22</f>
        <v>5433.0199999999995</v>
      </c>
      <c r="J22" s="18">
        <f ca="1">+C22/'Per Capita Plan Expenditure'!J22</f>
        <v>10049.136680852529</v>
      </c>
      <c r="K22" s="18">
        <f ca="1">+D22/'Per Capita Plan Expenditure'!K22</f>
        <v>12260.784983309646</v>
      </c>
      <c r="L22" s="18">
        <f ca="1">+E22/'Per Capita Plan Expenditure'!L22</f>
        <v>15728.567999040939</v>
      </c>
      <c r="M22" s="18">
        <f ca="1">+F22/'Per Capita Plan Expenditure'!M22</f>
        <v>23270.77101195652</v>
      </c>
      <c r="N22" s="18">
        <f ca="1">+G22/'Per Capita Plan Expenditure'!N22</f>
        <v>25825.64016472764</v>
      </c>
      <c r="O22" s="18">
        <f ca="1">+H22/'Per Capita Plan Expenditure'!O22</f>
        <v>29778.014986574064</v>
      </c>
      <c r="P22" s="55">
        <f ca="1">+I22/'Per Capita Plan Expenditure'!P22</f>
        <v>28652.149889023327</v>
      </c>
      <c r="Q22" s="125">
        <f ca="1">+C22/'NON Plan Exp(%GSDP)'!J22*100</f>
        <v>8.0534628162535142</v>
      </c>
      <c r="R22" s="125">
        <f ca="1">+D22/'NON Plan Exp(%GSDP)'!K22*100</f>
        <v>7.8590540646887543</v>
      </c>
      <c r="S22" s="125">
        <f ca="1">+E22/'NON Plan Exp(%GSDP)'!L22*100</f>
        <v>9.1318409668337548</v>
      </c>
      <c r="T22" s="125">
        <f ca="1">+F22/'NON Plan Exp(%GSDP)'!M22*100</f>
        <v>12.111292962356794</v>
      </c>
      <c r="U22" s="125">
        <f ca="1">+G22/'NON Plan Exp(%GSDP)'!N22*100</f>
        <v>12.896821651630811</v>
      </c>
      <c r="V22" s="125">
        <f ca="1">+H22/'NON Plan Exp(%GSDP)'!O22*100</f>
        <v>15.729758329758328</v>
      </c>
      <c r="W22" s="125">
        <f ca="1">+I22/'NON Plan Exp(%GSDP)'!P22*100</f>
        <v>13.823642828508278</v>
      </c>
    </row>
    <row r="23" spans="1:23" ht="19.5" customHeight="1">
      <c r="A23" s="3">
        <v>16</v>
      </c>
      <c r="B23" s="6" t="s">
        <v>29</v>
      </c>
      <c r="C23" s="146">
        <f ca="1">+'NON Plan Exp(%GSDP)'!C23</f>
        <v>25083.11</v>
      </c>
      <c r="D23" s="146">
        <f ca="1">+'NON Plan Exp(%GSDP)'!D23</f>
        <v>27276.36</v>
      </c>
      <c r="E23" s="146">
        <f ca="1">+'NON Plan Exp(%GSDP)'!E23</f>
        <v>34089</v>
      </c>
      <c r="F23" s="146">
        <f ca="1">+'NON Plan Exp(%GSDP)'!F23</f>
        <v>40770.04</v>
      </c>
      <c r="G23" s="146">
        <f ca="1">+'NON Plan Exp(%GSDP)'!G23</f>
        <v>43981.33</v>
      </c>
      <c r="H23" s="146">
        <f ca="1">+'NON Plan Exp(%GSDP)'!H23</f>
        <v>50085.97</v>
      </c>
      <c r="I23" s="146">
        <f ca="1">+'NON Plan Exp(%GSDP)'!I23</f>
        <v>55712.71</v>
      </c>
      <c r="J23" s="18">
        <f ca="1">+C23/'Per Capita Plan Expenditure'!J23</f>
        <v>4455.4175992042346</v>
      </c>
      <c r="K23" s="18">
        <f ca="1">+D23/'Per Capita Plan Expenditure'!K23</f>
        <v>4776.1928942898676</v>
      </c>
      <c r="L23" s="18">
        <f ca="1">+E23/'Per Capita Plan Expenditure'!L23</f>
        <v>5886.5480918666899</v>
      </c>
      <c r="M23" s="18">
        <f ca="1">+F23/'Per Capita Plan Expenditure'!M23</f>
        <v>6945.2531019869075</v>
      </c>
      <c r="N23" s="18">
        <f ca="1">+G23/'Per Capita Plan Expenditure'!N23</f>
        <v>7393.6845606517008</v>
      </c>
      <c r="O23" s="18">
        <f ca="1">+H23/'Per Capita Plan Expenditure'!O23</f>
        <v>8311.7791419112</v>
      </c>
      <c r="P23" s="55">
        <f ca="1">+I23/'Per Capita Plan Expenditure'!P23</f>
        <v>9126.7790260861875</v>
      </c>
      <c r="Q23" s="125">
        <f ca="1">+C23/'NON Plan Exp(%GSDP)'!J23*100</f>
        <v>7.6174468925095287</v>
      </c>
      <c r="R23" s="125">
        <f ca="1">+D23/'NON Plan Exp(%GSDP)'!K23*100</f>
        <v>7.4138272195525019</v>
      </c>
      <c r="S23" s="125">
        <f ca="1">+E23/'NON Plan Exp(%GSDP)'!L23*100</f>
        <v>7.9044757015456959</v>
      </c>
      <c r="T23" s="125">
        <f ca="1">+F23/'NON Plan Exp(%GSDP)'!M23*100</f>
        <v>7.8175560238457269</v>
      </c>
      <c r="U23" s="125">
        <f ca="1">+G23/'NON Plan Exp(%GSDP)'!N23*100</f>
        <v>7.3972531085856348</v>
      </c>
      <c r="V23" s="125">
        <f ca="1">+H23/'NON Plan Exp(%GSDP)'!O23*100</f>
        <v>7.4753393948801223</v>
      </c>
      <c r="W23" s="125">
        <f ca="1">+I23/'NON Plan Exp(%GSDP)'!P23*100</f>
        <v>7.1708451308608172</v>
      </c>
    </row>
    <row r="24" spans="1:23" ht="19.5" customHeight="1">
      <c r="A24" s="3">
        <v>17</v>
      </c>
      <c r="B24" s="6" t="s">
        <v>30</v>
      </c>
      <c r="C24" s="146">
        <f ca="1">+'NON Plan Exp(%GSDP)'!C24</f>
        <v>14627</v>
      </c>
      <c r="D24" s="146">
        <f ca="1">+'NON Plan Exp(%GSDP)'!D24</f>
        <v>17441</v>
      </c>
      <c r="E24" s="146">
        <f ca="1">+'NON Plan Exp(%GSDP)'!E24</f>
        <v>20771</v>
      </c>
      <c r="F24" s="146">
        <f ca="1">+'NON Plan Exp(%GSDP)'!F24</f>
        <v>22428</v>
      </c>
      <c r="G24" s="146">
        <f ca="1">+'NON Plan Exp(%GSDP)'!G24</f>
        <v>25504</v>
      </c>
      <c r="H24" s="146">
        <f ca="1">+'NON Plan Exp(%GSDP)'!H24</f>
        <v>30254</v>
      </c>
      <c r="I24" s="146">
        <f ca="1">+'NON Plan Exp(%GSDP)'!I24</f>
        <v>32721</v>
      </c>
      <c r="J24" s="18">
        <f ca="1">+C24/'Per Capita Plan Expenditure'!J24</f>
        <v>6095.3416813232761</v>
      </c>
      <c r="K24" s="18">
        <f ca="1">+D24/'Per Capita Plan Expenditure'!K24</f>
        <v>7140.6476073776648</v>
      </c>
      <c r="L24" s="18">
        <f ca="1">+E24/'Per Capita Plan Expenditure'!L24</f>
        <v>8358.8844012700702</v>
      </c>
      <c r="M24" s="18">
        <f ca="1">+F24/'Per Capita Plan Expenditure'!M24</f>
        <v>8875.3574872818808</v>
      </c>
      <c r="N24" s="18">
        <f ca="1">+G24/'Per Capita Plan Expenditure'!N24</f>
        <v>9929.1590859978205</v>
      </c>
      <c r="O24" s="18">
        <f ca="1">+H24/'Per Capita Plan Expenditure'!O24</f>
        <v>11592.012436405694</v>
      </c>
      <c r="P24" s="55">
        <f ca="1">+I24/'Per Capita Plan Expenditure'!P24</f>
        <v>12342.88464754658</v>
      </c>
      <c r="Q24" s="125">
        <f ca="1">+C24/'NON Plan Exp(%GSDP)'!J24*100</f>
        <v>9.6486714689041921</v>
      </c>
      <c r="R24" s="125">
        <f ca="1">+D24/'NON Plan Exp(%GSDP)'!K24*100</f>
        <v>9.5555604255925317</v>
      </c>
      <c r="S24" s="125">
        <f ca="1">+E24/'NON Plan Exp(%GSDP)'!L24*100</f>
        <v>9.2893559928443654</v>
      </c>
      <c r="T24" s="125">
        <f ca="1">+F24/'NON Plan Exp(%GSDP)'!M24*100</f>
        <v>8.6055997022496271</v>
      </c>
      <c r="U24" s="125">
        <f ca="1">+G24/'NON Plan Exp(%GSDP)'!N24*100</f>
        <v>8.4461797793740203</v>
      </c>
      <c r="V24" s="125">
        <f ca="1">+H24/'NON Plan Exp(%GSDP)'!O24*100</f>
        <v>8.7632300036496567</v>
      </c>
      <c r="W24" s="125">
        <f ca="1">+I24/'NON Plan Exp(%GSDP)'!P24*100</f>
        <v>8.3282004815548216</v>
      </c>
    </row>
    <row r="25" spans="1:23" ht="19.5" customHeight="1">
      <c r="A25" s="3">
        <v>18</v>
      </c>
      <c r="B25" s="6" t="s">
        <v>31</v>
      </c>
      <c r="C25" s="146">
        <f ca="1">+'NON Plan Exp(%GSDP)'!C25</f>
        <v>8059.4</v>
      </c>
      <c r="D25" s="146">
        <f ca="1">+'NON Plan Exp(%GSDP)'!D25</f>
        <v>9263.35</v>
      </c>
      <c r="E25" s="146">
        <f ca="1">+'NON Plan Exp(%GSDP)'!E25</f>
        <v>11418.69</v>
      </c>
      <c r="F25" s="146">
        <f ca="1">+'NON Plan Exp(%GSDP)'!F25</f>
        <v>12121.09</v>
      </c>
      <c r="G25" s="146">
        <f ca="1">+'NON Plan Exp(%GSDP)'!G25</f>
        <v>13424.79</v>
      </c>
      <c r="H25" s="146">
        <f ca="1">+'NON Plan Exp(%GSDP)'!H25</f>
        <v>15881.1</v>
      </c>
      <c r="I25" s="146">
        <f ca="1">+'NON Plan Exp(%GSDP)'!I25</f>
        <v>18587.98</v>
      </c>
      <c r="J25" s="18">
        <f ca="1">+C25/'Per Capita Plan Expenditure'!J25</f>
        <v>2685.708267462494</v>
      </c>
      <c r="K25" s="18">
        <f ca="1">+D25/'Per Capita Plan Expenditure'!K25</f>
        <v>3043.3909292441695</v>
      </c>
      <c r="L25" s="18">
        <f ca="1">+E25/'Per Capita Plan Expenditure'!L25</f>
        <v>3699.4867282349164</v>
      </c>
      <c r="M25" s="18">
        <f ca="1">+F25/'Per Capita Plan Expenditure'!M25</f>
        <v>3873.4341373375551</v>
      </c>
      <c r="N25" s="18">
        <f ca="1">+G25/'Per Capita Plan Expenditure'!N25</f>
        <v>4231.306041065257</v>
      </c>
      <c r="O25" s="18">
        <f ca="1">+H25/'Per Capita Plan Expenditure'!O25</f>
        <v>4938.3175390415408</v>
      </c>
      <c r="P25" s="55">
        <f ca="1">+I25/'Per Capita Plan Expenditure'!P25</f>
        <v>5703.9811045265878</v>
      </c>
      <c r="Q25" s="125">
        <f ca="1">+C25/'NON Plan Exp(%GSDP)'!J25*100</f>
        <v>9.6002382370458612</v>
      </c>
      <c r="R25" s="125">
        <f ca="1">+D25/'NON Plan Exp(%GSDP)'!K25*100</f>
        <v>10.55123356949222</v>
      </c>
      <c r="S25" s="125">
        <f ca="1">+E25/'NON Plan Exp(%GSDP)'!L25*100</f>
        <v>11.34821756889715</v>
      </c>
      <c r="T25" s="125">
        <f ca="1">+F25/'NON Plan Exp(%GSDP)'!M25*100</f>
        <v>9.5230945702815024</v>
      </c>
      <c r="U25" s="125">
        <f ca="1">+G25/'NON Plan Exp(%GSDP)'!N25*100</f>
        <v>9.329832998589211</v>
      </c>
      <c r="V25" s="125">
        <f ca="1">+H25/'NON Plan Exp(%GSDP)'!O25*100</f>
        <v>9.6321477959193569</v>
      </c>
      <c r="W25" s="125">
        <f ca="1">+I25/'NON Plan Exp(%GSDP)'!P25*100</f>
        <v>9.8240983467929475</v>
      </c>
    </row>
    <row r="26" spans="1:23" ht="19.5" customHeight="1">
      <c r="A26" s="3">
        <v>19</v>
      </c>
      <c r="B26" s="6" t="s">
        <v>32</v>
      </c>
      <c r="C26" s="146">
        <f ca="1">+'NON Plan Exp(%GSDP)'!C26</f>
        <v>30517.41</v>
      </c>
      <c r="D26" s="146">
        <f ca="1">+'NON Plan Exp(%GSDP)'!D26</f>
        <v>32371.759999999998</v>
      </c>
      <c r="E26" s="146">
        <f ca="1">+'NON Plan Exp(%GSDP)'!E26</f>
        <v>36318</v>
      </c>
      <c r="F26" s="146">
        <f ca="1">+'NON Plan Exp(%GSDP)'!F26</f>
        <v>39621</v>
      </c>
      <c r="G26" s="146">
        <f ca="1">+'NON Plan Exp(%GSDP)'!G26</f>
        <v>47217</v>
      </c>
      <c r="H26" s="146">
        <f ca="1">+'NON Plan Exp(%GSDP)'!H26</f>
        <v>55421</v>
      </c>
      <c r="I26" s="146">
        <f ca="1">+'NON Plan Exp(%GSDP)'!I26</f>
        <v>64924</v>
      </c>
      <c r="J26" s="18">
        <f ca="1">+C26/'Per Capita Plan Expenditure'!J26</f>
        <v>5326.6530129726107</v>
      </c>
      <c r="K26" s="18">
        <f ca="1">+D26/'Per Capita Plan Expenditure'!K26</f>
        <v>5588.3743905956908</v>
      </c>
      <c r="L26" s="18">
        <f ca="1">+E26/'Per Capita Plan Expenditure'!L26</f>
        <v>6202.7003248204092</v>
      </c>
      <c r="M26" s="18">
        <f ca="1">+F26/'Per Capita Plan Expenditure'!M26</f>
        <v>6696.1370672275107</v>
      </c>
      <c r="N26" s="18">
        <f ca="1">+G26/'Per Capita Plan Expenditure'!N26</f>
        <v>7898.4604427866434</v>
      </c>
      <c r="O26" s="18">
        <f ca="1">+H26/'Per Capita Plan Expenditure'!O26</f>
        <v>9178.3998951241265</v>
      </c>
      <c r="P26" s="55">
        <f ca="1">+I26/'Per Capita Plan Expenditure'!P26</f>
        <v>10647.632818534912</v>
      </c>
      <c r="Q26" s="125">
        <f ca="1">+C26/'NON Plan Exp(%GSDP)'!J26*100</f>
        <v>11.276474435481786</v>
      </c>
      <c r="R26" s="125">
        <f ca="1">+D26/'NON Plan Exp(%GSDP)'!K26*100</f>
        <v>10.432003918636726</v>
      </c>
      <c r="S26" s="125">
        <f ca="1">+E26/'NON Plan Exp(%GSDP)'!L26*100</f>
        <v>10.759008054888183</v>
      </c>
      <c r="T26" s="125">
        <f ca="1">+F26/'NON Plan Exp(%GSDP)'!M26*100</f>
        <v>9.647117259917751</v>
      </c>
      <c r="U26" s="125">
        <f ca="1">+G26/'NON Plan Exp(%GSDP)'!N26*100</f>
        <v>10.289304283777954</v>
      </c>
      <c r="V26" s="125">
        <f ca="1">+H26/'NON Plan Exp(%GSDP)'!O26*100</f>
        <v>10.566403941262378</v>
      </c>
      <c r="W26" s="125">
        <f ca="1">+I26/'NON Plan Exp(%GSDP)'!P26*100</f>
        <v>10.933445153424238</v>
      </c>
    </row>
    <row r="27" spans="1:23" ht="19.5" customHeight="1">
      <c r="A27" s="3">
        <v>20</v>
      </c>
      <c r="B27" s="6" t="s">
        <v>33</v>
      </c>
      <c r="C27" s="146">
        <f ca="1">+'NON Plan Exp(%GSDP)'!C27</f>
        <v>22710.51</v>
      </c>
      <c r="D27" s="146">
        <f ca="1">+'NON Plan Exp(%GSDP)'!D27</f>
        <v>25441.279999999999</v>
      </c>
      <c r="E27" s="146">
        <f ca="1">+'NON Plan Exp(%GSDP)'!E27</f>
        <v>27283.03</v>
      </c>
      <c r="F27" s="146">
        <f ca="1">+'NON Plan Exp(%GSDP)'!F27</f>
        <v>31509.53</v>
      </c>
      <c r="G27" s="146">
        <f ca="1">+'NON Plan Exp(%GSDP)'!G27</f>
        <v>41754.089999999997</v>
      </c>
      <c r="H27" s="146">
        <f ca="1">+'NON Plan Exp(%GSDP)'!H27</f>
        <v>47101.62</v>
      </c>
      <c r="I27" s="146">
        <f ca="1">+'NON Plan Exp(%GSDP)'!I27</f>
        <v>52401</v>
      </c>
      <c r="J27" s="18">
        <f ca="1">+C27/'Per Capita Plan Expenditure'!J27</f>
        <v>6740.249167105032</v>
      </c>
      <c r="K27" s="18">
        <f ca="1">+D27/'Per Capita Plan Expenditure'!K27</f>
        <v>7491.9678621470675</v>
      </c>
      <c r="L27" s="18">
        <f ca="1">+E27/'Per Capita Plan Expenditure'!L27</f>
        <v>7973.7359381763472</v>
      </c>
      <c r="M27" s="18">
        <f ca="1">+F27/'Per Capita Plan Expenditure'!M27</f>
        <v>9141.9081794516605</v>
      </c>
      <c r="N27" s="18">
        <f ca="1">+G27/'Per Capita Plan Expenditure'!N27</f>
        <v>12030.131964162974</v>
      </c>
      <c r="O27" s="18">
        <f ca="1">+H27/'Per Capita Plan Expenditure'!O27</f>
        <v>13479.90222072078</v>
      </c>
      <c r="P27" s="55">
        <f ca="1">+I27/'Per Capita Plan Expenditure'!P27</f>
        <v>14896.01159754971</v>
      </c>
      <c r="Q27" s="125">
        <f ca="1">+C27/'NON Plan Exp(%GSDP)'!J27*100</f>
        <v>12.966986599368507</v>
      </c>
      <c r="R27" s="125">
        <f ca="1">+D27/'NON Plan Exp(%GSDP)'!K27*100</f>
        <v>12.546061553483279</v>
      </c>
      <c r="S27" s="125">
        <f ca="1">+E27/'NON Plan Exp(%GSDP)'!L27*100</f>
        <v>11.759977413695747</v>
      </c>
      <c r="T27" s="125">
        <f ca="1">+F27/'NON Plan Exp(%GSDP)'!M27*100</f>
        <v>11.945699521937422</v>
      </c>
      <c r="U27" s="125">
        <f ca="1">+G27/'NON Plan Exp(%GSDP)'!N27*100</f>
        <v>13.560661370678062</v>
      </c>
      <c r="V27" s="125">
        <f ca="1">+H27/'NON Plan Exp(%GSDP)'!O27*100</f>
        <v>13.483108050083301</v>
      </c>
      <c r="W27" s="125">
        <f ca="1">+I27/'NON Plan Exp(%GSDP)'!P27*100</f>
        <v>13.065221350794271</v>
      </c>
    </row>
    <row r="28" spans="1:23" ht="19.5" customHeight="1">
      <c r="A28" s="3">
        <v>21</v>
      </c>
      <c r="B28" s="6" t="s">
        <v>34</v>
      </c>
      <c r="C28" s="146">
        <f ca="1">+'NON Plan Exp(%GSDP)'!C28</f>
        <v>19827.599999999999</v>
      </c>
      <c r="D28" s="146">
        <f ca="1">+'NON Plan Exp(%GSDP)'!D28</f>
        <v>23287</v>
      </c>
      <c r="E28" s="146">
        <f ca="1">+'NON Plan Exp(%GSDP)'!E28</f>
        <v>29263.03</v>
      </c>
      <c r="F28" s="146">
        <f ca="1">+'NON Plan Exp(%GSDP)'!F28</f>
        <v>35007.19</v>
      </c>
      <c r="G28" s="146">
        <f ca="1">+'NON Plan Exp(%GSDP)'!G28</f>
        <v>51344.46</v>
      </c>
      <c r="H28" s="146">
        <f ca="1">+'NON Plan Exp(%GSDP)'!H28</f>
        <v>48728.4</v>
      </c>
      <c r="I28" s="146">
        <f ca="1">+'NON Plan Exp(%GSDP)'!I28</f>
        <v>54340.69</v>
      </c>
      <c r="J28" s="18">
        <f ca="1">+C28/'Per Capita Plan Expenditure'!J28</f>
        <v>2904.456470502314</v>
      </c>
      <c r="K28" s="18">
        <f ca="1">+D28/'Per Capita Plan Expenditure'!K28</f>
        <v>3354.1216828058255</v>
      </c>
      <c r="L28" s="18">
        <f ca="1">+E28/'Per Capita Plan Expenditure'!L28</f>
        <v>4145.9529175446178</v>
      </c>
      <c r="M28" s="18">
        <f ca="1">+F28/'Per Capita Plan Expenditure'!M28</f>
        <v>4880.2777066592853</v>
      </c>
      <c r="N28" s="18">
        <f ca="1">+G28/'Per Capita Plan Expenditure'!N28</f>
        <v>7045.1563653278617</v>
      </c>
      <c r="O28" s="18">
        <f ca="1">+H28/'Per Capita Plan Expenditure'!O28</f>
        <v>6583.1418665205501</v>
      </c>
      <c r="P28" s="55">
        <f ca="1">+I28/'Per Capita Plan Expenditure'!P28</f>
        <v>7230.6715515457427</v>
      </c>
      <c r="Q28" s="125">
        <f ca="1">+C28/'NON Plan Exp(%GSDP)'!J28*100</f>
        <v>12.278748320215012</v>
      </c>
      <c r="R28" s="125">
        <f ca="1">+D28/'NON Plan Exp(%GSDP)'!K28*100</f>
        <v>11.804274214805654</v>
      </c>
      <c r="S28" s="125">
        <f ca="1">+E28/'NON Plan Exp(%GSDP)'!L28*100</f>
        <v>12.859648351841516</v>
      </c>
      <c r="T28" s="125">
        <f ca="1">+F28/'NON Plan Exp(%GSDP)'!M28*100</f>
        <v>13.290706768515847</v>
      </c>
      <c r="U28" s="125">
        <f ca="1">+G28/'NON Plan Exp(%GSDP)'!N28*100</f>
        <v>16.473982096448168</v>
      </c>
      <c r="V28" s="125">
        <f ca="1">+H28/'NON Plan Exp(%GSDP)'!O28*100</f>
        <v>13.093013695317476</v>
      </c>
      <c r="W28" s="125">
        <f ca="1">+I28/'NON Plan Exp(%GSDP)'!P28*100</f>
        <v>12.051605677533821</v>
      </c>
    </row>
    <row r="29" spans="1:23" ht="19.5" customHeight="1">
      <c r="A29" s="3">
        <v>22</v>
      </c>
      <c r="B29" s="6" t="s">
        <v>35</v>
      </c>
      <c r="C29" s="146">
        <f ca="1">+'NON Plan Exp(%GSDP)'!C29</f>
        <v>57497.03</v>
      </c>
      <c r="D29" s="146">
        <f ca="1">+'NON Plan Exp(%GSDP)'!D29</f>
        <v>70155.199999999997</v>
      </c>
      <c r="E29" s="146">
        <f ca="1">+'NON Plan Exp(%GSDP)'!E29</f>
        <v>81727.02</v>
      </c>
      <c r="F29" s="146">
        <f ca="1">+'NON Plan Exp(%GSDP)'!F29</f>
        <v>92125.41</v>
      </c>
      <c r="G29" s="146">
        <f ca="1">+'NON Plan Exp(%GSDP)'!G29</f>
        <v>104762.44</v>
      </c>
      <c r="H29" s="146">
        <f ca="1">+'NON Plan Exp(%GSDP)'!H29</f>
        <v>110797.13</v>
      </c>
      <c r="I29" s="146">
        <f ca="1">+'NON Plan Exp(%GSDP)'!I29</f>
        <v>130380.03</v>
      </c>
      <c r="J29" s="18">
        <f ca="1">+C29/'Per Capita Plan Expenditure'!J29</f>
        <v>5357.4775534582104</v>
      </c>
      <c r="K29" s="18">
        <f ca="1">+D29/'Per Capita Plan Expenditure'!K29</f>
        <v>6441.6950132531874</v>
      </c>
      <c r="L29" s="18">
        <f ca="1">+E29/'Per Capita Plan Expenditure'!L29</f>
        <v>7397.1132270608277</v>
      </c>
      <c r="M29" s="18">
        <f ca="1">+F29/'Per Capita Plan Expenditure'!M29</f>
        <v>8222.4004508641119</v>
      </c>
      <c r="N29" s="18">
        <f ca="1">+G29/'Per Capita Plan Expenditure'!N29</f>
        <v>9224.5658219095349</v>
      </c>
      <c r="O29" s="18">
        <f ca="1">+H29/'Per Capita Plan Expenditure'!O29</f>
        <v>9627.5826750571505</v>
      </c>
      <c r="P29" s="55">
        <f ca="1">+I29/'Per Capita Plan Expenditure'!P29</f>
        <v>11180.165670202692</v>
      </c>
      <c r="Q29" s="125">
        <f ca="1">+C29/'NON Plan Exp(%GSDP)'!J29*100</f>
        <v>8.3959700182676542</v>
      </c>
      <c r="R29" s="125">
        <f ca="1">+D29/'NON Plan Exp(%GSDP)'!K29*100</f>
        <v>9.3047857405277927</v>
      </c>
      <c r="S29" s="125">
        <f ca="1">+E29/'NON Plan Exp(%GSDP)'!L29*100</f>
        <v>9.5503271395534455</v>
      </c>
      <c r="T29" s="125">
        <f ca="1">+F29/'NON Plan Exp(%GSDP)'!M29*100</f>
        <v>8.9002662580693777</v>
      </c>
      <c r="U29" s="125">
        <f ca="1">+G29/'NON Plan Exp(%GSDP)'!N29*100</f>
        <v>8.7334929490107953</v>
      </c>
      <c r="V29" s="125">
        <f ca="1">+H29/'NON Plan Exp(%GSDP)'!O29*100</f>
        <v>8.0718037597512549</v>
      </c>
      <c r="W29" s="125">
        <f ca="1">+I29/'NON Plan Exp(%GSDP)'!P29*100</f>
        <v>8.2198965213402815</v>
      </c>
    </row>
    <row r="30" spans="1:23" ht="19.5" customHeight="1">
      <c r="A30" s="3">
        <v>23</v>
      </c>
      <c r="B30" s="6" t="s">
        <v>74</v>
      </c>
      <c r="C30" s="146">
        <f ca="1">+'NON Plan Exp(%GSDP)'!C30</f>
        <v>13953.48</v>
      </c>
      <c r="D30" s="146">
        <f ca="1">+'NON Plan Exp(%GSDP)'!D30</f>
        <v>15905.41</v>
      </c>
      <c r="E30" s="146">
        <f ca="1">+'NON Plan Exp(%GSDP)'!E30</f>
        <v>20150.41</v>
      </c>
      <c r="F30" s="146">
        <f ca="1">+'NON Plan Exp(%GSDP)'!F30</f>
        <v>22212.89</v>
      </c>
      <c r="G30" s="146">
        <f ca="1">+'NON Plan Exp(%GSDP)'!G30</f>
        <v>25619.8</v>
      </c>
      <c r="H30" s="146">
        <f ca="1">+'NON Plan Exp(%GSDP)'!H30</f>
        <v>26738.94</v>
      </c>
      <c r="I30" s="146">
        <f ca="1">+'NON Plan Exp(%GSDP)'!I30</f>
        <v>35139.879999999997</v>
      </c>
      <c r="J30" s="18">
        <f ca="1">+C30/'Per Capita Plan Expenditure'!J30</f>
        <v>3483.0662086421294</v>
      </c>
      <c r="K30" s="18">
        <f ca="1">+D30/'Per Capita Plan Expenditure'!K30</f>
        <v>3918.5598655886997</v>
      </c>
      <c r="L30" s="18">
        <f ca="1">+E30/'Per Capita Plan Expenditure'!L30</f>
        <v>4899.5497476207011</v>
      </c>
      <c r="M30" s="18">
        <f ca="1">+F30/'Per Capita Plan Expenditure'!M30</f>
        <v>5330.4234836034484</v>
      </c>
      <c r="N30" s="18">
        <f ca="1">+G30/'Per Capita Plan Expenditure'!N30</f>
        <v>6067.4413756223857</v>
      </c>
      <c r="O30" s="18">
        <f ca="1">+H30/'Per Capita Plan Expenditure'!O30</f>
        <v>6249.4494660346563</v>
      </c>
      <c r="P30" s="55">
        <f ca="1">+I30/'Per Capita Plan Expenditure'!P30</f>
        <v>8104.9611211591491</v>
      </c>
      <c r="Q30" s="125">
        <f ca="1">+C30/'NON Plan Exp(%GSDP)'!J30*100</f>
        <v>10.793724956294382</v>
      </c>
      <c r="R30" s="125">
        <f ca="1">+D30/'NON Plan Exp(%GSDP)'!K30*100</f>
        <v>10.711362978227637</v>
      </c>
      <c r="S30" s="125">
        <f ca="1">+E30/'NON Plan Exp(%GSDP)'!L30*100</f>
        <v>12.366311538791992</v>
      </c>
      <c r="T30" s="125">
        <f ca="1">+F30/'NON Plan Exp(%GSDP)'!M30*100</f>
        <v>11.245324760795828</v>
      </c>
      <c r="U30" s="125">
        <f ca="1">+G30/'NON Plan Exp(%GSDP)'!N30*100</f>
        <v>11.939342818396611</v>
      </c>
      <c r="V30" s="125">
        <f ca="1">+H30/'NON Plan Exp(%GSDP)'!O30*100</f>
        <v>10.467018190785996</v>
      </c>
      <c r="W30" s="125">
        <f ca="1">+I30/'NON Plan Exp(%GSDP)'!P30*100</f>
        <v>12.183832962338858</v>
      </c>
    </row>
    <row r="31" spans="1:23" s="20" customFormat="1" ht="19.5" customHeight="1">
      <c r="A31" s="3">
        <v>24</v>
      </c>
      <c r="B31" s="6" t="s">
        <v>36</v>
      </c>
      <c r="C31" s="146">
        <f ca="1">+'NON Plan Exp(%GSDP)'!C31</f>
        <v>22204.33</v>
      </c>
      <c r="D31" s="146">
        <f ca="1">+'NON Plan Exp(%GSDP)'!D31</f>
        <v>23456.86</v>
      </c>
      <c r="E31" s="146">
        <f ca="1">+'NON Plan Exp(%GSDP)'!E31</f>
        <v>26198.84</v>
      </c>
      <c r="F31" s="146">
        <f ca="1">+'NON Plan Exp(%GSDP)'!F31</f>
        <v>30862.94</v>
      </c>
      <c r="G31" s="146">
        <f ca="1">+'NON Plan Exp(%GSDP)'!G31</f>
        <v>31455.71</v>
      </c>
      <c r="H31" s="146">
        <f ca="1">+'NON Plan Exp(%GSDP)'!H31</f>
        <v>36771.550000000003</v>
      </c>
      <c r="I31" s="146">
        <f ca="1">+'NON Plan Exp(%GSDP)'!I31</f>
        <v>40158.14</v>
      </c>
      <c r="J31" s="18">
        <f ca="1">+C31/'Per Capita Plan Expenditure'!J31</f>
        <v>8079.5971836175268</v>
      </c>
      <c r="K31" s="18">
        <f ca="1">+D31/'Per Capita Plan Expenditure'!K31</f>
        <v>8380.4259651094453</v>
      </c>
      <c r="L31" s="18">
        <f ca="1">+E31/'Per Capita Plan Expenditure'!L31</f>
        <v>9190.3449528058245</v>
      </c>
      <c r="M31" s="18">
        <f ca="1">+F31/'Per Capita Plan Expenditure'!M31</f>
        <v>10629.897740774657</v>
      </c>
      <c r="N31" s="18">
        <f ca="1">+G31/'Per Capita Plan Expenditure'!N31</f>
        <v>10637.403013547271</v>
      </c>
      <c r="O31" s="18">
        <f ca="1">+H31/'Per Capita Plan Expenditure'!O31</f>
        <v>12341.02767858187</v>
      </c>
      <c r="P31" s="55">
        <f ca="1">+I31/'Per Capita Plan Expenditure'!P31</f>
        <v>13233.043278361654</v>
      </c>
      <c r="Q31" s="125">
        <f ca="1">+C31/'NON Plan Exp(%GSDP)'!J31*100</f>
        <v>14.584603763670401</v>
      </c>
      <c r="R31" s="125">
        <f ca="1">+D31/'NON Plan Exp(%GSDP)'!K31*100</f>
        <v>13.477933106947294</v>
      </c>
      <c r="S31" s="125">
        <f ca="1">+E31/'NON Plan Exp(%GSDP)'!L31*100</f>
        <v>13.265235443037977</v>
      </c>
      <c r="T31" s="125">
        <f ca="1">+F31/'NON Plan Exp(%GSDP)'!M31*100</f>
        <v>13.643852451769197</v>
      </c>
      <c r="U31" s="125">
        <f ca="1">+G31/'NON Plan Exp(%GSDP)'!N31*100</f>
        <v>12.266782357758451</v>
      </c>
      <c r="V31" s="125">
        <f ca="1">+H31/'NON Plan Exp(%GSDP)'!O31*100</f>
        <v>12.820919148283352</v>
      </c>
      <c r="W31" s="125">
        <f ca="1">+I31/'NON Plan Exp(%GSDP)'!P31*100</f>
        <v>12.584143119921535</v>
      </c>
    </row>
    <row r="32" spans="1:23" ht="19.5" customHeight="1">
      <c r="A32" s="3">
        <v>25</v>
      </c>
      <c r="B32" s="6" t="s">
        <v>37</v>
      </c>
      <c r="C32" s="146">
        <f ca="1">+'NON Plan Exp(%GSDP)'!C32</f>
        <v>25027.27</v>
      </c>
      <c r="D32" s="146">
        <f ca="1">+'NON Plan Exp(%GSDP)'!D32</f>
        <v>28345.5</v>
      </c>
      <c r="E32" s="146">
        <f ca="1">+'NON Plan Exp(%GSDP)'!E32</f>
        <v>33236.01</v>
      </c>
      <c r="F32" s="146">
        <f ca="1">+'NON Plan Exp(%GSDP)'!F32</f>
        <v>36213.620000000003</v>
      </c>
      <c r="G32" s="146">
        <f ca="1">+'NON Plan Exp(%GSDP)'!G32</f>
        <v>41312.160000000003</v>
      </c>
      <c r="H32" s="146">
        <f ca="1">+'NON Plan Exp(%GSDP)'!H32</f>
        <v>49397.93</v>
      </c>
      <c r="I32" s="146">
        <f ca="1">+'NON Plan Exp(%GSDP)'!I32</f>
        <v>58923.39</v>
      </c>
      <c r="J32" s="18">
        <f ca="1">+C32/'Per Capita Plan Expenditure'!J32</f>
        <v>3905.8038213915938</v>
      </c>
      <c r="K32" s="18">
        <f ca="1">+D32/'Per Capita Plan Expenditure'!K32</f>
        <v>4347.4607303474359</v>
      </c>
      <c r="L32" s="18">
        <f ca="1">+E32/'Per Capita Plan Expenditure'!L32</f>
        <v>5012.2090985312561</v>
      </c>
      <c r="M32" s="18">
        <f ca="1">+F32/'Per Capita Plan Expenditure'!M32</f>
        <v>5372.8530731957399</v>
      </c>
      <c r="N32" s="18">
        <f ca="1">+G32/'Per Capita Plan Expenditure'!N32</f>
        <v>6033.7835468056637</v>
      </c>
      <c r="O32" s="18">
        <f ca="1">+H32/'Per Capita Plan Expenditure'!O32</f>
        <v>7105.6720837637222</v>
      </c>
      <c r="P32" s="55">
        <f ca="1">+I32/'Per Capita Plan Expenditure'!P32</f>
        <v>8350.9406813455571</v>
      </c>
      <c r="Q32" s="125">
        <f ca="1">+C32/'NON Plan Exp(%GSDP)'!J32*100</f>
        <v>12.846223732432682</v>
      </c>
      <c r="R32" s="125">
        <f ca="1">+D32/'NON Plan Exp(%GSDP)'!K32*100</f>
        <v>12.273488952106309</v>
      </c>
      <c r="S32" s="125">
        <f ca="1">+E32/'NON Plan Exp(%GSDP)'!L32*100</f>
        <v>12.502966237186119</v>
      </c>
      <c r="T32" s="125">
        <f ca="1">+F32/'NON Plan Exp(%GSDP)'!M32*100</f>
        <v>10.703069029519902</v>
      </c>
      <c r="U32" s="125">
        <f ca="1">+G32/'NON Plan Exp(%GSDP)'!N32*100</f>
        <v>10.24043309487336</v>
      </c>
      <c r="V32" s="125">
        <f ca="1">+H32/'NON Plan Exp(%GSDP)'!O32*100</f>
        <v>10.757037553215815</v>
      </c>
      <c r="W32" s="125">
        <f ca="1">+I32/'NON Plan Exp(%GSDP)'!P32*100</f>
        <v>11.470657286134776</v>
      </c>
    </row>
    <row r="33" spans="1:23" ht="19.5" customHeight="1">
      <c r="A33" s="3">
        <v>26</v>
      </c>
      <c r="B33" s="6" t="s">
        <v>38</v>
      </c>
      <c r="C33" s="146">
        <f ca="1">+'NON Plan Exp(%GSDP)'!C33</f>
        <v>36363.69</v>
      </c>
      <c r="D33" s="146">
        <f ca="1">+'NON Plan Exp(%GSDP)'!D33</f>
        <v>45005.3</v>
      </c>
      <c r="E33" s="146">
        <f ca="1">+'NON Plan Exp(%GSDP)'!E33</f>
        <v>48407.21</v>
      </c>
      <c r="F33" s="146">
        <f ca="1">+'NON Plan Exp(%GSDP)'!F33</f>
        <v>60826.62</v>
      </c>
      <c r="G33" s="146">
        <f ca="1">+'NON Plan Exp(%GSDP)'!G33</f>
        <v>71526.97</v>
      </c>
      <c r="H33" s="146">
        <f ca="1">+'NON Plan Exp(%GSDP)'!H33</f>
        <v>83852.759999999995</v>
      </c>
      <c r="I33" s="146">
        <f ca="1">+'NON Plan Exp(%GSDP)'!I33</f>
        <v>92606.9</v>
      </c>
      <c r="J33" s="18">
        <f ca="1">+C33/'Per Capita Plan Expenditure'!J33</f>
        <v>5516.4236677531126</v>
      </c>
      <c r="K33" s="18">
        <f ca="1">+D33/'Per Capita Plan Expenditure'!K33</f>
        <v>6779.3358159452837</v>
      </c>
      <c r="L33" s="18">
        <f ca="1">+E33/'Per Capita Plan Expenditure'!L33</f>
        <v>7242.6776690014949</v>
      </c>
      <c r="M33" s="18">
        <f ca="1">+F33/'Per Capita Plan Expenditure'!M33</f>
        <v>9041.761463293702</v>
      </c>
      <c r="N33" s="18">
        <f ca="1">+G33/'Per Capita Plan Expenditure'!N33</f>
        <v>10565.587738086866</v>
      </c>
      <c r="O33" s="18">
        <f ca="1">+H33/'Per Capita Plan Expenditure'!O33</f>
        <v>12311.907362424818</v>
      </c>
      <c r="P33" s="55">
        <f ca="1">+I33/'Per Capita Plan Expenditure'!P33</f>
        <v>13519.103498874558</v>
      </c>
      <c r="Q33" s="125">
        <f ca="1">+C33/'NON Plan Exp(%GSDP)'!J33*100</f>
        <v>10.365370746738348</v>
      </c>
      <c r="R33" s="125">
        <f ca="1">+D33/'NON Plan Exp(%GSDP)'!K33*100</f>
        <v>11.213870671955668</v>
      </c>
      <c r="S33" s="125">
        <f ca="1">+E33/'NON Plan Exp(%GSDP)'!L33*100</f>
        <v>10.090448228493766</v>
      </c>
      <c r="T33" s="125">
        <f ca="1">+F33/'NON Plan Exp(%GSDP)'!M33*100</f>
        <v>10.399561631469528</v>
      </c>
      <c r="U33" s="125">
        <f ca="1">+G33/'NON Plan Exp(%GSDP)'!N33*100</f>
        <v>10.750891311144246</v>
      </c>
      <c r="V33" s="125">
        <f ca="1">+H33/'NON Plan Exp(%GSDP)'!O33*100</f>
        <v>11.263356410029093</v>
      </c>
      <c r="W33" s="125">
        <f ca="1">+I33/'NON Plan Exp(%GSDP)'!P33*100</f>
        <v>10.8908421427723</v>
      </c>
    </row>
    <row r="34" spans="1:23" ht="19.5" customHeight="1">
      <c r="A34" s="3">
        <v>27</v>
      </c>
      <c r="B34" s="6" t="s">
        <v>39</v>
      </c>
      <c r="C34" s="146">
        <f ca="1">+'NON Plan Exp(%GSDP)'!C34</f>
        <v>57084.35</v>
      </c>
      <c r="D34" s="146">
        <f ca="1">+'NON Plan Exp(%GSDP)'!D34</f>
        <v>63352.47</v>
      </c>
      <c r="E34" s="146">
        <f ca="1">+'NON Plan Exp(%GSDP)'!E34</f>
        <v>80101.8</v>
      </c>
      <c r="F34" s="146">
        <f ca="1">+'NON Plan Exp(%GSDP)'!F34</f>
        <v>87678.74</v>
      </c>
      <c r="G34" s="146">
        <f ca="1">+'NON Plan Exp(%GSDP)'!G34</f>
        <v>102669.21</v>
      </c>
      <c r="H34" s="146">
        <f ca="1">+'NON Plan Exp(%GSDP)'!H34</f>
        <v>121674.17</v>
      </c>
      <c r="I34" s="146">
        <f ca="1">+'NON Plan Exp(%GSDP)'!I34</f>
        <v>135596.79999999999</v>
      </c>
      <c r="J34" s="18">
        <f ca="1">+C34/'Per Capita Plan Expenditure'!J34</f>
        <v>3023.3394542873143</v>
      </c>
      <c r="K34" s="18">
        <f ca="1">+D34/'Per Capita Plan Expenditure'!K34</f>
        <v>3294.0352479146359</v>
      </c>
      <c r="L34" s="18">
        <f ca="1">+E34/'Per Capita Plan Expenditure'!L34</f>
        <v>4090.1486145750323</v>
      </c>
      <c r="M34" s="18">
        <f ca="1">+F34/'Per Capita Plan Expenditure'!M34</f>
        <v>4398.2996729612323</v>
      </c>
      <c r="N34" s="18">
        <f ca="1">+G34/'Per Capita Plan Expenditure'!N34</f>
        <v>5061.8369516593084</v>
      </c>
      <c r="O34" s="18">
        <f ca="1">+H34/'Per Capita Plan Expenditure'!O34</f>
        <v>5897.5811934875792</v>
      </c>
      <c r="P34" s="55">
        <f ca="1">+I34/'Per Capita Plan Expenditure'!P34</f>
        <v>6463.0827657815989</v>
      </c>
      <c r="Q34" s="125">
        <f ca="1">+C34/'NON Plan Exp(%GSDP)'!J34*100</f>
        <v>14.903518299018865</v>
      </c>
      <c r="R34" s="125">
        <f ca="1">+D34/'NON Plan Exp(%GSDP)'!K34*100</f>
        <v>14.246594780575014</v>
      </c>
      <c r="S34" s="125">
        <f ca="1">+E34/'NON Plan Exp(%GSDP)'!L34*100</f>
        <v>15.304302303809367</v>
      </c>
      <c r="T34" s="125">
        <f ca="1">+F34/'NON Plan Exp(%GSDP)'!M34*100</f>
        <v>14.609130171086571</v>
      </c>
      <c r="U34" s="125">
        <f ca="1">+G34/'NON Plan Exp(%GSDP)'!N34*100</f>
        <v>15.12049360315873</v>
      </c>
      <c r="V34" s="125">
        <f ca="1">+H34/'NON Plan Exp(%GSDP)'!O34*100</f>
        <v>15.823829217223933</v>
      </c>
      <c r="W34" s="125">
        <f ca="1">+I34/'NON Plan Exp(%GSDP)'!P34*100</f>
        <v>15.297300346340856</v>
      </c>
    </row>
    <row r="35" spans="1:23" ht="19.5" customHeight="1">
      <c r="A35" s="3">
        <v>28</v>
      </c>
      <c r="B35" s="6" t="s">
        <v>40</v>
      </c>
      <c r="C35" s="146">
        <f ca="1">+'NON Plan Exp(%GSDP)'!C35</f>
        <v>31629.09</v>
      </c>
      <c r="D35" s="146">
        <f ca="1">+'NON Plan Exp(%GSDP)'!D35</f>
        <v>43608.75</v>
      </c>
      <c r="E35" s="146">
        <f ca="1">+'NON Plan Exp(%GSDP)'!E35</f>
        <v>48102.07</v>
      </c>
      <c r="F35" s="146">
        <f ca="1">+'NON Plan Exp(%GSDP)'!F35</f>
        <v>52556.480000000003</v>
      </c>
      <c r="G35" s="146">
        <f ca="1">+'NON Plan Exp(%GSDP)'!G35</f>
        <v>59324.56</v>
      </c>
      <c r="H35" s="146">
        <f ca="1">+'NON Plan Exp(%GSDP)'!H35</f>
        <v>65231.42</v>
      </c>
      <c r="I35" s="146">
        <f ca="1">+'NON Plan Exp(%GSDP)'!I35</f>
        <v>70048.89</v>
      </c>
      <c r="J35" s="18">
        <f ca="1">+C35/'Per Capita Plan Expenditure'!J35</f>
        <v>3649.8261204429059</v>
      </c>
      <c r="K35" s="18">
        <f ca="1">+D35/'Per Capita Plan Expenditure'!K35</f>
        <v>4983.5562143754223</v>
      </c>
      <c r="L35" s="18">
        <f ca="1">+E35/'Per Capita Plan Expenditure'!L35</f>
        <v>5445.4297335849078</v>
      </c>
      <c r="M35" s="18">
        <f ca="1">+F35/'Per Capita Plan Expenditure'!M35</f>
        <v>5894.7012389876345</v>
      </c>
      <c r="N35" s="18">
        <f ca="1">+G35/'Per Capita Plan Expenditure'!N35</f>
        <v>6592.5549314723494</v>
      </c>
      <c r="O35" s="18">
        <f ca="1">+H35/'Per Capita Plan Expenditure'!O35</f>
        <v>7183.9216636891861</v>
      </c>
      <c r="P35" s="55">
        <f ca="1">+I35/'Per Capita Plan Expenditure'!P35</f>
        <v>7647.7245728160742</v>
      </c>
      <c r="Q35" s="125">
        <f ca="1">+C35/'NON Plan Exp(%GSDP)'!J35*100</f>
        <v>10.561230520597162</v>
      </c>
      <c r="R35" s="125">
        <f ca="1">+D35/'NON Plan Exp(%GSDP)'!K35*100</f>
        <v>12.753259324680794</v>
      </c>
      <c r="S35" s="125">
        <f ca="1">+E35/'NON Plan Exp(%GSDP)'!L35*100</f>
        <v>12.059283493782591</v>
      </c>
      <c r="T35" s="125">
        <f ca="1">+F35/'NON Plan Exp(%GSDP)'!M35*100</f>
        <v>11.401551981846543</v>
      </c>
      <c r="U35" s="125">
        <f ca="1">+G35/'NON Plan Exp(%GSDP)'!N35*100</f>
        <v>11.022587879429738</v>
      </c>
      <c r="V35" s="125">
        <f ca="1">+H35/'NON Plan Exp(%GSDP)'!O35*100</f>
        <v>10.518482327141383</v>
      </c>
      <c r="W35" s="125">
        <f ca="1">+I35/'NON Plan Exp(%GSDP)'!P35*100</f>
        <v>9.8960355895616008</v>
      </c>
    </row>
    <row r="36" spans="1:23" s="75" customFormat="1" ht="19.5" customHeight="1">
      <c r="A36" s="72"/>
      <c r="B36" s="4" t="s">
        <v>190</v>
      </c>
      <c r="C36" s="147">
        <f t="shared" ref="C36:I36" si="1">SUM(C19:C35)</f>
        <v>433138.12000000005</v>
      </c>
      <c r="D36" s="147">
        <f t="shared" si="1"/>
        <v>499911.87</v>
      </c>
      <c r="E36" s="147">
        <f t="shared" si="1"/>
        <v>582726.18000000005</v>
      </c>
      <c r="F36" s="147">
        <f t="shared" si="1"/>
        <v>665845.84000000008</v>
      </c>
      <c r="G36" s="147">
        <f t="shared" si="1"/>
        <v>778601.46</v>
      </c>
      <c r="H36" s="147">
        <f t="shared" si="1"/>
        <v>877784.52000000014</v>
      </c>
      <c r="I36" s="147">
        <f t="shared" si="1"/>
        <v>1009587.18</v>
      </c>
      <c r="J36" s="66">
        <f ca="1">+C36/'Per Capita Plan Expenditure'!J36</f>
        <v>4124.436797096223</v>
      </c>
      <c r="K36" s="66">
        <f ca="1">+D36/'Per Capita Plan Expenditure'!K36</f>
        <v>4692.9194684251033</v>
      </c>
      <c r="L36" s="66">
        <f ca="1">+E36/'Per Capita Plan Expenditure'!L36</f>
        <v>5395.0963380892063</v>
      </c>
      <c r="M36" s="66">
        <f ca="1">+F36/'Per Capita Plan Expenditure'!M36</f>
        <v>6081.1890371439376</v>
      </c>
      <c r="N36" s="66">
        <f ca="1">+G36/'Per Capita Plan Expenditure'!N36</f>
        <v>7016.9236175792521</v>
      </c>
      <c r="O36" s="66">
        <f ca="1">+H36/'Per Capita Plan Expenditure'!O36</f>
        <v>7810.6112335432917</v>
      </c>
      <c r="P36" s="242">
        <f ca="1">+I36/'Per Capita Plan Expenditure'!P36</f>
        <v>8869.1120151850373</v>
      </c>
      <c r="Q36" s="126">
        <f ca="1">+C36/'NON Plan Exp(%GSDP)'!J36*100</f>
        <v>10.97975679355438</v>
      </c>
      <c r="R36" s="126">
        <f ca="1">+D36/'NON Plan Exp(%GSDP)'!K36*100</f>
        <v>11.02234557176371</v>
      </c>
      <c r="S36" s="126">
        <f ca="1">+E36/'NON Plan Exp(%GSDP)'!L36*100</f>
        <v>11.195774500679748</v>
      </c>
      <c r="T36" s="126">
        <f ca="1">+F36/'NON Plan Exp(%GSDP)'!M36*100</f>
        <v>10.685065495680373</v>
      </c>
      <c r="U36" s="126">
        <f ca="1">+G36/'NON Plan Exp(%GSDP)'!N36*100</f>
        <v>10.883136495605868</v>
      </c>
      <c r="V36" s="126">
        <f ca="1">+H36/'NON Plan Exp(%GSDP)'!O36*100</f>
        <v>10.71668411302309</v>
      </c>
      <c r="W36" s="126">
        <f ca="1">+I36/'NON Plan Exp(%GSDP)'!P36*100</f>
        <v>10.742882085782842</v>
      </c>
    </row>
    <row r="37" spans="1:23" ht="19.5" customHeight="1">
      <c r="A37" s="3"/>
      <c r="B37" s="4" t="s">
        <v>42</v>
      </c>
      <c r="C37" s="147"/>
      <c r="D37" s="147"/>
      <c r="E37" s="147"/>
      <c r="F37" s="147"/>
      <c r="G37" s="147"/>
      <c r="H37" s="147"/>
      <c r="I37" s="147"/>
      <c r="J37" s="18"/>
      <c r="K37" s="18"/>
      <c r="L37" s="18"/>
      <c r="M37" s="18"/>
      <c r="N37" s="18"/>
      <c r="O37" s="18"/>
      <c r="P37" s="55"/>
      <c r="Q37" s="125"/>
      <c r="R37" s="125"/>
      <c r="S37" s="125"/>
      <c r="T37" s="125"/>
      <c r="U37" s="125"/>
      <c r="V37" s="125"/>
      <c r="W37" s="125"/>
    </row>
    <row r="38" spans="1:23" ht="19.5" customHeight="1">
      <c r="A38" s="3">
        <v>29</v>
      </c>
      <c r="B38" s="6" t="s">
        <v>43</v>
      </c>
      <c r="C38" s="146">
        <f ca="1">+'NON Plan Exp(%GSDP)'!C38</f>
        <v>9374.59</v>
      </c>
      <c r="D38" s="146">
        <f ca="1">+'NON Plan Exp(%GSDP)'!D38</f>
        <v>10725.97</v>
      </c>
      <c r="E38" s="146">
        <f ca="1">+'NON Plan Exp(%GSDP)'!E38</f>
        <v>13797.68</v>
      </c>
      <c r="F38" s="146">
        <f ca="1">+'NON Plan Exp(%GSDP)'!F38</f>
        <v>14980.06</v>
      </c>
      <c r="G38" s="146">
        <f ca="1">+'NON Plan Exp(%GSDP)'!G38</f>
        <v>12702.12</v>
      </c>
      <c r="H38" s="146">
        <f ca="1">+'NON Plan Exp(%GSDP)'!H38</f>
        <v>16454.32</v>
      </c>
      <c r="I38" s="146">
        <f ca="1">+'NON Plan Exp(%GSDP)'!I38</f>
        <v>21000</v>
      </c>
      <c r="J38" s="18">
        <f ca="1">+C38/'Per Capita Plan Expenditure'!J38</f>
        <v>5971.450626274921</v>
      </c>
      <c r="K38" s="18">
        <f ca="1">+D38/'Per Capita Plan Expenditure'!K38</f>
        <v>6703.2663951862742</v>
      </c>
      <c r="L38" s="18">
        <f ca="1">+E38/'Per Capita Plan Expenditure'!L38</f>
        <v>8460.6995387971328</v>
      </c>
      <c r="M38" s="18">
        <f ca="1">+F38/'Per Capita Plan Expenditure'!M38</f>
        <v>9012.1671395408594</v>
      </c>
      <c r="N38" s="18">
        <f ca="1">+G38/'Per Capita Plan Expenditure'!N38</f>
        <v>7497.8437517376042</v>
      </c>
      <c r="O38" s="18">
        <f ca="1">+H38/'Per Capita Plan Expenditure'!O38</f>
        <v>9529.888716321675</v>
      </c>
      <c r="P38" s="55">
        <f ca="1">+I38/'Per Capita Plan Expenditure'!P38</f>
        <v>11933.853788585289</v>
      </c>
      <c r="Q38" s="125">
        <f ca="1">+C38/'NON Plan Exp(%GSDP)'!J38*100</f>
        <v>5.935275757057747</v>
      </c>
      <c r="R38" s="125">
        <f ca="1">+D38/'NON Plan Exp(%GSDP)'!K38*100</f>
        <v>5.6591569805785795</v>
      </c>
      <c r="S38" s="125">
        <f ca="1">+E38/'NON Plan Exp(%GSDP)'!L38*100</f>
        <v>6.3402919781820524</v>
      </c>
      <c r="T38" s="125">
        <f ca="1">+F38/'NON Plan Exp(%GSDP)'!M38*100</f>
        <v>5.9267585350124428</v>
      </c>
      <c r="U38" s="125">
        <f ca="1">+G38/'NON Plan Exp(%GSDP)'!N38*100</f>
        <v>4.2774273716396651</v>
      </c>
      <c r="V38" s="125">
        <f ca="1">+H38/'NON Plan Exp(%GSDP)'!O38*100</f>
        <v>4.7252520669345044</v>
      </c>
      <c r="W38" s="125">
        <f ca="1">+I38/'NON Plan Exp(%GSDP)'!P38*100</f>
        <v>5.1906193150359883</v>
      </c>
    </row>
    <row r="39" spans="1:23" ht="19.5" customHeight="1">
      <c r="A39" s="3">
        <v>30</v>
      </c>
      <c r="B39" s="6" t="s">
        <v>44</v>
      </c>
      <c r="C39" s="146">
        <f ca="1">+'NON Plan Exp(%GSDP)'!C39</f>
        <v>1364</v>
      </c>
      <c r="D39" s="146">
        <f ca="1">+'NON Plan Exp(%GSDP)'!D39</f>
        <v>1757</v>
      </c>
      <c r="E39" s="146">
        <f ca="1">+'NON Plan Exp(%GSDP)'!E39</f>
        <v>1993</v>
      </c>
      <c r="F39" s="146">
        <f ca="1">+'NON Plan Exp(%GSDP)'!F39</f>
        <v>2323</v>
      </c>
      <c r="G39" s="146">
        <f ca="1">+'NON Plan Exp(%GSDP)'!G39</f>
        <v>1951</v>
      </c>
      <c r="H39" s="146">
        <f ca="1">+'NON Plan Exp(%GSDP)'!H39</f>
        <v>2083.9499999999998</v>
      </c>
      <c r="I39" s="146">
        <f ca="1">+'NON Plan Exp(%GSDP)'!I39</f>
        <v>2187.36</v>
      </c>
      <c r="J39" s="18">
        <f ca="1">+C39/'Per Capita Plan Expenditure'!J39</f>
        <v>12374.393446631619</v>
      </c>
      <c r="K39" s="18">
        <f ca="1">+D39/'Per Capita Plan Expenditure'!K39</f>
        <v>15642.191513246518</v>
      </c>
      <c r="L39" s="18">
        <f ca="1">+E39/'Per Capita Plan Expenditure'!L39</f>
        <v>17414.702751465946</v>
      </c>
      <c r="M39" s="18">
        <f ca="1">+F39/'Per Capita Plan Expenditure'!M39</f>
        <v>19921.114542677751</v>
      </c>
      <c r="N39" s="18">
        <f ca="1">+G39/'Per Capita Plan Expenditure'!N39</f>
        <v>15440.524649208373</v>
      </c>
      <c r="O39" s="18">
        <f ca="1">+H39/'Per Capita Plan Expenditure'!O39</f>
        <v>16088.928262101088</v>
      </c>
      <c r="P39" s="55">
        <f ca="1">+I39/'Per Capita Plan Expenditure'!P39</f>
        <v>16474.797325805972</v>
      </c>
      <c r="Q39" s="125">
        <f ca="1">+C39/'NON Plan Exp(%GSDP)'!J39*100</f>
        <v>14.744351961950059</v>
      </c>
      <c r="R39" s="125">
        <f ca="1">+D39/'NON Plan Exp(%GSDP)'!K39*100</f>
        <v>17.482587064676615</v>
      </c>
      <c r="S39" s="125">
        <f ca="1">+E39/'NON Plan Exp(%GSDP)'!L39*100</f>
        <v>16.197984395318596</v>
      </c>
      <c r="T39" s="125">
        <f ca="1">+F39/'NON Plan Exp(%GSDP)'!M39*100</f>
        <v>17.743660250534678</v>
      </c>
      <c r="U39" s="125">
        <f ca="1">+G39/'NON Plan Exp(%GSDP)'!N39*100</f>
        <v>13.33561175666439</v>
      </c>
      <c r="V39" s="125">
        <f ca="1">+H39/'NON Plan Exp(%GSDP)'!O39*100</f>
        <v>12.121626337831549</v>
      </c>
      <c r="W39" s="125">
        <f ca="1">+I39/'NON Plan Exp(%GSDP)'!P39*100</f>
        <v>10.173767441860464</v>
      </c>
    </row>
    <row r="40" spans="1:23" s="75" customFormat="1" ht="19.5" customHeight="1">
      <c r="A40" s="72"/>
      <c r="B40" s="4" t="s">
        <v>79</v>
      </c>
      <c r="C40" s="147">
        <f t="shared" ref="C40:I40" si="2">SUM(C38:C39)</f>
        <v>10738.59</v>
      </c>
      <c r="D40" s="147">
        <f t="shared" si="2"/>
        <v>12482.97</v>
      </c>
      <c r="E40" s="147">
        <f t="shared" si="2"/>
        <v>15790.68</v>
      </c>
      <c r="F40" s="147">
        <f t="shared" si="2"/>
        <v>17303.059999999998</v>
      </c>
      <c r="G40" s="147">
        <f t="shared" si="2"/>
        <v>14653.12</v>
      </c>
      <c r="H40" s="147">
        <f t="shared" si="2"/>
        <v>18538.27</v>
      </c>
      <c r="I40" s="147">
        <f t="shared" si="2"/>
        <v>23187.360000000001</v>
      </c>
      <c r="J40" s="66">
        <f ca="1">+C40/'Per Capita Plan Expenditure'!J40</f>
        <v>6391.5261548851877</v>
      </c>
      <c r="K40" s="66">
        <f ca="1">+D40/'Per Capita Plan Expenditure'!K40</f>
        <v>7289.6006567385994</v>
      </c>
      <c r="L40" s="66">
        <f ca="1">+E40/'Per Capita Plan Expenditure'!L40</f>
        <v>9047.855250652985</v>
      </c>
      <c r="M40" s="66">
        <f ca="1">+F40/'Per Capita Plan Expenditure'!M40</f>
        <v>9727.3019320903586</v>
      </c>
      <c r="N40" s="66">
        <f ca="1">+G40/'Per Capita Plan Expenditure'!N40</f>
        <v>8049.1354610018288</v>
      </c>
      <c r="O40" s="66">
        <f ca="1">+H40/'Per Capita Plan Expenditure'!N40</f>
        <v>10183.295191919971</v>
      </c>
      <c r="P40" s="242">
        <f ca="1">+I40/'Per Capita Plan Expenditure'!O40</f>
        <v>12492.325113394476</v>
      </c>
      <c r="Q40" s="126">
        <f ca="1">+C40/'NON Plan Exp(%GSDP)'!J40*100</f>
        <v>6.4226785009390071</v>
      </c>
      <c r="R40" s="126">
        <f ca="1">+D40/'NON Plan Exp(%GSDP)'!K40*100</f>
        <v>6.254525686055425</v>
      </c>
      <c r="S40" s="126">
        <f ca="1">+E40/'NON Plan Exp(%GSDP)'!L40*100</f>
        <v>6.8678122675852356</v>
      </c>
      <c r="T40" s="126">
        <f ca="1">+F40/'NON Plan Exp(%GSDP)'!M40*100</f>
        <v>6.5087024393913744</v>
      </c>
      <c r="U40" s="126">
        <f ca="1">+G40/'NON Plan Exp(%GSDP)'!N40*100</f>
        <v>4.7027379191044556</v>
      </c>
      <c r="V40" s="126">
        <f ca="1">+H40/'NON Plan Exp(%GSDP)'!O40*100</f>
        <v>5.073237679009778</v>
      </c>
      <c r="W40" s="126">
        <f ca="1">+I40/'NON Plan Exp(%GSDP)'!P40*100</f>
        <v>5.4420713675494516</v>
      </c>
    </row>
    <row r="41" spans="1:23" s="75" customFormat="1" ht="6.75" customHeight="1">
      <c r="A41" s="72"/>
      <c r="B41" s="4"/>
      <c r="C41" s="147"/>
      <c r="D41" s="147"/>
      <c r="E41" s="147"/>
      <c r="F41" s="147"/>
      <c r="G41" s="147"/>
      <c r="H41" s="147"/>
      <c r="I41" s="147"/>
      <c r="J41" s="18"/>
      <c r="K41" s="18"/>
      <c r="L41" s="18"/>
      <c r="M41" s="18"/>
      <c r="N41" s="18"/>
      <c r="O41" s="18"/>
      <c r="P41" s="55"/>
      <c r="Q41" s="125"/>
      <c r="R41" s="125"/>
      <c r="S41" s="125"/>
      <c r="T41" s="125"/>
      <c r="U41" s="125"/>
      <c r="V41" s="125"/>
      <c r="W41" s="125"/>
    </row>
    <row r="42" spans="1:23" s="75" customFormat="1">
      <c r="A42" s="72"/>
      <c r="B42" s="4" t="s">
        <v>46</v>
      </c>
      <c r="C42" s="147">
        <f t="shared" ref="C42:I42" si="3">+C17+C36+C40</f>
        <v>491337.72000000009</v>
      </c>
      <c r="D42" s="147">
        <f t="shared" si="3"/>
        <v>564961</v>
      </c>
      <c r="E42" s="147">
        <f t="shared" si="3"/>
        <v>665673.9800000001</v>
      </c>
      <c r="F42" s="147">
        <f t="shared" si="3"/>
        <v>765229.48</v>
      </c>
      <c r="G42" s="147">
        <f t="shared" si="3"/>
        <v>885057.32</v>
      </c>
      <c r="H42" s="147">
        <f t="shared" si="3"/>
        <v>997065.91000000015</v>
      </c>
      <c r="I42" s="147">
        <f t="shared" si="3"/>
        <v>1150228.8400000001</v>
      </c>
      <c r="J42" s="66">
        <f ca="1">+C42/'Per Capita Plan Expenditure'!J42</f>
        <v>4321.8619196394284</v>
      </c>
      <c r="K42" s="66">
        <f ca="1">+D42/'Per Capita Plan Expenditure'!K42</f>
        <v>4898.9498646849188</v>
      </c>
      <c r="L42" s="66">
        <f ca="1">+E42/'Per Capita Plan Expenditure'!L42</f>
        <v>5692.5579058340863</v>
      </c>
      <c r="M42" s="66">
        <f ca="1">+F42/'Per Capita Plan Expenditure'!M42</f>
        <v>6454.9991425346807</v>
      </c>
      <c r="N42" s="66">
        <f ca="1">+G42/'Per Capita Plan Expenditure'!N42</f>
        <v>7365.461349669341</v>
      </c>
      <c r="O42" s="66">
        <f ca="1">+H42/'Per Capita Plan Expenditure'!N42</f>
        <v>8297.5986495178531</v>
      </c>
      <c r="P42" s="242">
        <f ca="1">+I42/'Per Capita Plan Expenditure'!O42</f>
        <v>9449.7272264247549</v>
      </c>
      <c r="Q42" s="126">
        <f ca="1">+C42/'NON Plan Exp(%GSDP)'!J42*100</f>
        <v>11.301373426629404</v>
      </c>
      <c r="R42" s="126">
        <f ca="1">+D42/'NON Plan Exp(%GSDP)'!K42*100</f>
        <v>11.273430899474363</v>
      </c>
      <c r="S42" s="126">
        <f ca="1">+E42/'NON Plan Exp(%GSDP)'!L42*100</f>
        <v>11.549144511001179</v>
      </c>
      <c r="T42" s="126">
        <f ca="1">+F42/'NON Plan Exp(%GSDP)'!M42*100</f>
        <v>11.113244859705047</v>
      </c>
      <c r="U42" s="126">
        <f ca="1">+G42/'NON Plan Exp(%GSDP)'!N42*100</f>
        <v>11.192554865891525</v>
      </c>
      <c r="V42" s="126">
        <f ca="1">+H42/'NON Plan Exp(%GSDP)'!O42*100</f>
        <v>11.005137635700825</v>
      </c>
      <c r="W42" s="126">
        <f ca="1">+I42/'NON Plan Exp(%GSDP)'!P42*100</f>
        <v>11.055868041061009</v>
      </c>
    </row>
    <row r="43" spans="1:23" ht="15">
      <c r="A43" s="83"/>
      <c r="B43" s="628" t="s">
        <v>187</v>
      </c>
      <c r="C43" s="628"/>
      <c r="D43" s="628"/>
      <c r="E43" s="628"/>
      <c r="F43" s="628"/>
      <c r="G43" s="628"/>
      <c r="H43" s="628"/>
      <c r="I43" s="628"/>
      <c r="J43" s="628"/>
      <c r="K43" s="23"/>
      <c r="L43" s="23"/>
      <c r="M43" s="23"/>
      <c r="N43" s="23"/>
      <c r="O43" s="23"/>
      <c r="P43" s="176"/>
      <c r="Q43" s="23"/>
      <c r="R43" s="23"/>
    </row>
  </sheetData>
  <mergeCells count="8">
    <mergeCell ref="B43:J43"/>
    <mergeCell ref="A1:V1"/>
    <mergeCell ref="A2:A4"/>
    <mergeCell ref="B2:B3"/>
    <mergeCell ref="C2:I2"/>
    <mergeCell ref="J4:P4"/>
    <mergeCell ref="J2:P2"/>
    <mergeCell ref="Q2:W2"/>
  </mergeCells>
  <phoneticPr fontId="42" type="noConversion"/>
  <printOptions horizontalCentered="1"/>
  <pageMargins left="0.35433070866141736" right="0.15748031496062992" top="0.78740157480314965" bottom="0.31496062992125984" header="0" footer="0"/>
  <pageSetup paperSize="9" scale="63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50"/>
    <pageSetUpPr fitToPage="1"/>
  </sheetPr>
  <dimension ref="A1:P46"/>
  <sheetViews>
    <sheetView view="pageBreakPreview" zoomScaleNormal="100" workbookViewId="0">
      <pane xSplit="2" ySplit="5" topLeftCell="C6" activePane="bottomRight" state="frozen"/>
      <selection activeCell="J4" sqref="J4:P5"/>
      <selection pane="topRight" activeCell="J4" sqref="J4:P5"/>
      <selection pane="bottomLeft" activeCell="J4" sqref="J4:P5"/>
      <selection pane="bottomRight" activeCell="A2" sqref="A2"/>
    </sheetView>
  </sheetViews>
  <sheetFormatPr defaultRowHeight="15"/>
  <cols>
    <col min="1" max="1" width="5.28515625" style="359" customWidth="1"/>
    <col min="2" max="2" width="28" style="344" customWidth="1"/>
    <col min="3" max="9" width="12" style="344" customWidth="1"/>
    <col min="10" max="10" width="13" style="344" customWidth="1"/>
    <col min="11" max="16" width="12" style="344" customWidth="1"/>
    <col min="17" max="16384" width="9.140625" style="344"/>
  </cols>
  <sheetData>
    <row r="1" spans="1:16" ht="26.25" customHeight="1">
      <c r="A1" s="523" t="s">
        <v>314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</row>
    <row r="2" spans="1:16" ht="21" customHeight="1">
      <c r="A2" s="343"/>
      <c r="B2" s="122">
        <v>41834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532" t="s">
        <v>84</v>
      </c>
      <c r="P2" s="532"/>
    </row>
    <row r="3" spans="1:16" s="346" customFormat="1" ht="20.25" customHeight="1">
      <c r="A3" s="524" t="s">
        <v>71</v>
      </c>
      <c r="B3" s="525" t="s">
        <v>221</v>
      </c>
      <c r="C3" s="529" t="s">
        <v>222</v>
      </c>
      <c r="D3" s="530"/>
      <c r="E3" s="530"/>
      <c r="F3" s="530"/>
      <c r="G3" s="530"/>
      <c r="H3" s="530"/>
      <c r="I3" s="531"/>
      <c r="J3" s="526" t="s">
        <v>223</v>
      </c>
      <c r="K3" s="526"/>
      <c r="L3" s="526"/>
      <c r="M3" s="526"/>
      <c r="N3" s="526"/>
      <c r="O3" s="526"/>
      <c r="P3" s="526"/>
    </row>
    <row r="4" spans="1:16" s="348" customFormat="1" ht="18.75" customHeight="1">
      <c r="A4" s="524"/>
      <c r="B4" s="525"/>
      <c r="C4" s="347" t="s">
        <v>48</v>
      </c>
      <c r="D4" s="347" t="s">
        <v>49</v>
      </c>
      <c r="E4" s="347" t="s">
        <v>5</v>
      </c>
      <c r="F4" s="347" t="s">
        <v>6</v>
      </c>
      <c r="G4" s="347" t="s">
        <v>7</v>
      </c>
      <c r="H4" s="347" t="s">
        <v>122</v>
      </c>
      <c r="I4" s="347" t="s">
        <v>139</v>
      </c>
      <c r="J4" s="495" t="s">
        <v>48</v>
      </c>
      <c r="K4" s="495" t="s">
        <v>49</v>
      </c>
      <c r="L4" s="495" t="s">
        <v>5</v>
      </c>
      <c r="M4" s="495" t="s">
        <v>6</v>
      </c>
      <c r="N4" s="495" t="s">
        <v>7</v>
      </c>
      <c r="O4" s="495" t="s">
        <v>122</v>
      </c>
      <c r="P4" s="495" t="s">
        <v>139</v>
      </c>
    </row>
    <row r="5" spans="1:16" s="348" customFormat="1" ht="24" customHeight="1">
      <c r="A5" s="349"/>
      <c r="B5" s="349"/>
      <c r="C5" s="345" t="s">
        <v>8</v>
      </c>
      <c r="D5" s="345" t="s">
        <v>8</v>
      </c>
      <c r="E5" s="345" t="s">
        <v>8</v>
      </c>
      <c r="F5" s="345" t="s">
        <v>8</v>
      </c>
      <c r="G5" s="345" t="s">
        <v>8</v>
      </c>
      <c r="H5" s="345" t="s">
        <v>224</v>
      </c>
      <c r="I5" s="345" t="s">
        <v>225</v>
      </c>
      <c r="J5" s="496" t="s">
        <v>8</v>
      </c>
      <c r="K5" s="496" t="s">
        <v>8</v>
      </c>
      <c r="L5" s="496" t="s">
        <v>8</v>
      </c>
      <c r="M5" s="496" t="s">
        <v>8</v>
      </c>
      <c r="N5" s="496" t="s">
        <v>8</v>
      </c>
      <c r="O5" s="496" t="s">
        <v>224</v>
      </c>
      <c r="P5" s="496" t="s">
        <v>225</v>
      </c>
    </row>
    <row r="6" spans="1:16" ht="15.75">
      <c r="A6" s="350" t="s">
        <v>226</v>
      </c>
      <c r="B6" s="351" t="s">
        <v>227</v>
      </c>
      <c r="C6" s="352"/>
      <c r="D6" s="352"/>
      <c r="E6" s="352"/>
      <c r="F6" s="352"/>
      <c r="G6" s="352"/>
      <c r="H6" s="352"/>
      <c r="I6" s="352"/>
      <c r="J6" s="497"/>
      <c r="K6" s="497"/>
      <c r="L6" s="497"/>
      <c r="M6" s="497"/>
      <c r="N6" s="497"/>
      <c r="O6" s="497"/>
      <c r="P6" s="497"/>
    </row>
    <row r="7" spans="1:16" ht="15.75">
      <c r="A7" s="353">
        <v>1</v>
      </c>
      <c r="B7" s="354" t="s">
        <v>12</v>
      </c>
      <c r="C7" s="352">
        <v>1470.0500000000002</v>
      </c>
      <c r="D7" s="352">
        <v>2099.54</v>
      </c>
      <c r="E7" s="352">
        <v>2119.0700000000002</v>
      </c>
      <c r="F7" s="352">
        <v>2035.57</v>
      </c>
      <c r="G7" s="352">
        <v>1950.57</v>
      </c>
      <c r="H7" s="352">
        <v>2876.1499999999996</v>
      </c>
      <c r="I7" s="352">
        <v>3700</v>
      </c>
      <c r="J7" s="497">
        <f t="shared" ref="J7:J18" si="0">+C7/C$46</f>
        <v>1390.0393358296458</v>
      </c>
      <c r="K7" s="497">
        <f t="shared" ref="K7:K18" si="1">+D7/D$46</f>
        <v>1826.9578837452141</v>
      </c>
      <c r="L7" s="497">
        <f t="shared" ref="L7:L18" si="2">+E7/E$46</f>
        <v>1738.5386584405358</v>
      </c>
      <c r="M7" s="497">
        <f t="shared" ref="M7:M18" si="3">+F7/F$46</f>
        <v>1532.3702554991796</v>
      </c>
      <c r="N7" s="497">
        <f t="shared" ref="N7:N18" si="4">+G7/G$46</f>
        <v>1352.8526445742186</v>
      </c>
      <c r="O7" s="497">
        <f t="shared" ref="O7:O18" si="5">+H7/H$46</f>
        <v>1861.2966270611682</v>
      </c>
      <c r="P7" s="497">
        <f t="shared" ref="P7:P18" si="6">+I7/I$46</f>
        <v>2239.5874316774507</v>
      </c>
    </row>
    <row r="8" spans="1:16" ht="15.75">
      <c r="A8" s="353">
        <v>2</v>
      </c>
      <c r="B8" s="354" t="s">
        <v>13</v>
      </c>
      <c r="C8" s="352">
        <v>4489.7699999999977</v>
      </c>
      <c r="D8" s="352">
        <v>7063.3</v>
      </c>
      <c r="E8" s="352">
        <v>6257.7899999999981</v>
      </c>
      <c r="F8" s="352">
        <v>7645.0000000000018</v>
      </c>
      <c r="G8" s="352">
        <v>8966.4699999999993</v>
      </c>
      <c r="H8" s="352">
        <v>10500</v>
      </c>
      <c r="I8" s="352">
        <v>12500</v>
      </c>
      <c r="J8" s="497">
        <f t="shared" si="0"/>
        <v>4245.4045160558244</v>
      </c>
      <c r="K8" s="497">
        <f t="shared" si="1"/>
        <v>6146.2756700313266</v>
      </c>
      <c r="L8" s="497">
        <f t="shared" si="2"/>
        <v>5134.0492911525325</v>
      </c>
      <c r="M8" s="497">
        <f t="shared" si="3"/>
        <v>5755.130309098302</v>
      </c>
      <c r="N8" s="497">
        <f t="shared" si="4"/>
        <v>6218.8553356174825</v>
      </c>
      <c r="O8" s="497">
        <f t="shared" si="5"/>
        <v>6795.0609614040541</v>
      </c>
      <c r="P8" s="497">
        <f t="shared" si="6"/>
        <v>7566.1737556670641</v>
      </c>
    </row>
    <row r="9" spans="1:16" ht="15.75">
      <c r="A9" s="353">
        <v>3</v>
      </c>
      <c r="B9" s="354" t="s">
        <v>14</v>
      </c>
      <c r="C9" s="352">
        <v>2764.6800000000003</v>
      </c>
      <c r="D9" s="352">
        <v>1979.6299999999999</v>
      </c>
      <c r="E9" s="352">
        <v>2227.7999999999997</v>
      </c>
      <c r="F9" s="352">
        <v>3037.2200000000003</v>
      </c>
      <c r="G9" s="352">
        <v>3277.28</v>
      </c>
      <c r="H9" s="352">
        <v>4032.1499999999996</v>
      </c>
      <c r="I9" s="352">
        <v>4100.0000000000009</v>
      </c>
      <c r="J9" s="497">
        <f t="shared" si="0"/>
        <v>2614.2062861681607</v>
      </c>
      <c r="K9" s="497">
        <f t="shared" si="1"/>
        <v>1722.615732683606</v>
      </c>
      <c r="L9" s="497">
        <f t="shared" si="2"/>
        <v>1827.7435022315567</v>
      </c>
      <c r="M9" s="497">
        <f t="shared" si="3"/>
        <v>2286.4090094701819</v>
      </c>
      <c r="N9" s="497">
        <f t="shared" si="4"/>
        <v>2273.0160491600891</v>
      </c>
      <c r="O9" s="497">
        <f t="shared" si="5"/>
        <v>2609.4004814786053</v>
      </c>
      <c r="P9" s="497">
        <f t="shared" si="6"/>
        <v>2481.7049918587977</v>
      </c>
    </row>
    <row r="10" spans="1:16" ht="15.75">
      <c r="A10" s="353">
        <v>4</v>
      </c>
      <c r="B10" s="354" t="s">
        <v>228</v>
      </c>
      <c r="C10" s="352">
        <v>4164.4499999999989</v>
      </c>
      <c r="D10" s="352">
        <v>5006.1499999999996</v>
      </c>
      <c r="E10" s="352">
        <v>6688.4100000000008</v>
      </c>
      <c r="F10" s="352">
        <v>5768.0499999999993</v>
      </c>
      <c r="G10" s="352">
        <v>6608.06</v>
      </c>
      <c r="H10" s="352">
        <v>6860.9600000000009</v>
      </c>
      <c r="I10" s="352">
        <v>7300</v>
      </c>
      <c r="J10" s="497">
        <f t="shared" si="0"/>
        <v>3937.7907636446148</v>
      </c>
      <c r="K10" s="497">
        <f t="shared" si="1"/>
        <v>4356.2043160459443</v>
      </c>
      <c r="L10" s="497">
        <f t="shared" si="2"/>
        <v>5487.3408374901555</v>
      </c>
      <c r="M10" s="497">
        <f t="shared" si="3"/>
        <v>4342.1686565591172</v>
      </c>
      <c r="N10" s="497">
        <f t="shared" si="4"/>
        <v>4583.1379783884258</v>
      </c>
      <c r="O10" s="497">
        <f t="shared" si="5"/>
        <v>4440.0610908337867</v>
      </c>
      <c r="P10" s="497">
        <f t="shared" si="6"/>
        <v>4418.6454733095652</v>
      </c>
    </row>
    <row r="11" spans="1:16" ht="15.75">
      <c r="A11" s="353">
        <v>5</v>
      </c>
      <c r="B11" s="354" t="s">
        <v>16</v>
      </c>
      <c r="C11" s="352">
        <v>1303.8399999999997</v>
      </c>
      <c r="D11" s="352">
        <v>1602.1100000000026</v>
      </c>
      <c r="E11" s="352">
        <v>1853.260000000002</v>
      </c>
      <c r="F11" s="352">
        <v>2834.4699999999993</v>
      </c>
      <c r="G11" s="352">
        <v>1627.37</v>
      </c>
      <c r="H11" s="352">
        <v>2421.56</v>
      </c>
      <c r="I11" s="352">
        <v>3649.9999999999995</v>
      </c>
      <c r="J11" s="497">
        <f t="shared" si="0"/>
        <v>1232.8756760845718</v>
      </c>
      <c r="K11" s="497">
        <f t="shared" si="1"/>
        <v>1394.1089453532916</v>
      </c>
      <c r="L11" s="497">
        <f t="shared" si="2"/>
        <v>1520.4614071934909</v>
      </c>
      <c r="M11" s="497">
        <f t="shared" si="3"/>
        <v>2133.7794908083529</v>
      </c>
      <c r="N11" s="497">
        <f t="shared" si="4"/>
        <v>1128.6915148909015</v>
      </c>
      <c r="O11" s="497">
        <f t="shared" si="5"/>
        <v>1567.1093163521525</v>
      </c>
      <c r="P11" s="497">
        <f t="shared" si="6"/>
        <v>2209.3227366547826</v>
      </c>
    </row>
    <row r="12" spans="1:16" ht="15.75">
      <c r="A12" s="353">
        <v>6</v>
      </c>
      <c r="B12" s="354" t="s">
        <v>17</v>
      </c>
      <c r="C12" s="352">
        <v>860.77</v>
      </c>
      <c r="D12" s="352">
        <v>1289.18</v>
      </c>
      <c r="E12" s="352">
        <v>1116.78</v>
      </c>
      <c r="F12" s="352">
        <v>1194.73</v>
      </c>
      <c r="G12" s="352">
        <v>3095.51</v>
      </c>
      <c r="H12" s="352">
        <v>3077.15</v>
      </c>
      <c r="I12" s="352">
        <v>4151</v>
      </c>
      <c r="J12" s="497">
        <f t="shared" si="0"/>
        <v>813.92072317409884</v>
      </c>
      <c r="K12" s="497">
        <f t="shared" si="1"/>
        <v>1121.8064740689176</v>
      </c>
      <c r="L12" s="497">
        <f t="shared" si="2"/>
        <v>916.23457600420056</v>
      </c>
      <c r="M12" s="497">
        <f t="shared" si="3"/>
        <v>899.38872912871329</v>
      </c>
      <c r="N12" s="497">
        <f t="shared" si="4"/>
        <v>2146.9462207487759</v>
      </c>
      <c r="O12" s="497">
        <f t="shared" si="5"/>
        <v>1991.3735083223319</v>
      </c>
      <c r="P12" s="497">
        <f t="shared" si="6"/>
        <v>2512.5749807819184</v>
      </c>
    </row>
    <row r="13" spans="1:16" ht="15.75">
      <c r="A13" s="353">
        <v>7</v>
      </c>
      <c r="B13" s="354" t="s">
        <v>18</v>
      </c>
      <c r="C13" s="352">
        <v>1042.17</v>
      </c>
      <c r="D13" s="352">
        <v>849.63999999999987</v>
      </c>
      <c r="E13" s="352">
        <v>932.12</v>
      </c>
      <c r="F13" s="352">
        <v>1264.26</v>
      </c>
      <c r="G13" s="352">
        <v>1550.11</v>
      </c>
      <c r="H13" s="352">
        <v>2317.7199999999998</v>
      </c>
      <c r="I13" s="352">
        <v>2500</v>
      </c>
      <c r="J13" s="497">
        <f t="shared" si="0"/>
        <v>985.44763417678428</v>
      </c>
      <c r="K13" s="497">
        <f t="shared" si="1"/>
        <v>739.3317090149668</v>
      </c>
      <c r="L13" s="497">
        <f t="shared" si="2"/>
        <v>764.73483854029928</v>
      </c>
      <c r="M13" s="497">
        <f t="shared" si="3"/>
        <v>951.73067947424693</v>
      </c>
      <c r="N13" s="497">
        <f t="shared" si="4"/>
        <v>1075.1064626652424</v>
      </c>
      <c r="O13" s="497">
        <f t="shared" si="5"/>
        <v>1499.9093991871812</v>
      </c>
      <c r="P13" s="497">
        <f t="shared" si="6"/>
        <v>1513.2347511334128</v>
      </c>
    </row>
    <row r="14" spans="1:16" ht="15.75">
      <c r="A14" s="353">
        <v>8</v>
      </c>
      <c r="B14" s="354" t="s">
        <v>19</v>
      </c>
      <c r="C14" s="352">
        <v>843.74</v>
      </c>
      <c r="D14" s="352">
        <v>1037.0400000000004</v>
      </c>
      <c r="E14" s="352">
        <v>1029.6099999999999</v>
      </c>
      <c r="F14" s="352">
        <v>1523.1399999999999</v>
      </c>
      <c r="G14" s="352">
        <v>1285.82</v>
      </c>
      <c r="H14" s="352">
        <v>1581.16</v>
      </c>
      <c r="I14" s="352">
        <v>2000</v>
      </c>
      <c r="J14" s="497">
        <f t="shared" si="0"/>
        <v>797.81761791293161</v>
      </c>
      <c r="K14" s="497">
        <f t="shared" si="1"/>
        <v>902.40167072746294</v>
      </c>
      <c r="L14" s="497">
        <f t="shared" si="2"/>
        <v>844.71810186400626</v>
      </c>
      <c r="M14" s="497">
        <f t="shared" si="3"/>
        <v>1146.6146735120974</v>
      </c>
      <c r="N14" s="497">
        <f t="shared" si="4"/>
        <v>891.80341512810185</v>
      </c>
      <c r="O14" s="497">
        <f t="shared" si="5"/>
        <v>1023.2455799746318</v>
      </c>
      <c r="P14" s="497">
        <f t="shared" si="6"/>
        <v>1210.5878009067303</v>
      </c>
    </row>
    <row r="15" spans="1:16" ht="15.75">
      <c r="A15" s="353">
        <v>9</v>
      </c>
      <c r="B15" s="354" t="s">
        <v>20</v>
      </c>
      <c r="C15" s="352">
        <v>770.44000000000028</v>
      </c>
      <c r="D15" s="352">
        <v>932.09000000000015</v>
      </c>
      <c r="E15" s="352">
        <v>1164.45</v>
      </c>
      <c r="F15" s="352">
        <v>673.65</v>
      </c>
      <c r="G15" s="352">
        <v>1498</v>
      </c>
      <c r="H15" s="352">
        <v>1852.34</v>
      </c>
      <c r="I15" s="352">
        <v>2060</v>
      </c>
      <c r="J15" s="497">
        <f t="shared" si="0"/>
        <v>728.50712961912348</v>
      </c>
      <c r="K15" s="497">
        <f t="shared" si="1"/>
        <v>811.07727114514455</v>
      </c>
      <c r="L15" s="497">
        <f t="shared" si="2"/>
        <v>955.34425045943829</v>
      </c>
      <c r="M15" s="497">
        <f t="shared" si="3"/>
        <v>507.12145620981948</v>
      </c>
      <c r="N15" s="497">
        <f t="shared" si="4"/>
        <v>1038.9646419109181</v>
      </c>
      <c r="O15" s="497">
        <f t="shared" si="5"/>
        <v>1198.7393544044937</v>
      </c>
      <c r="P15" s="497">
        <f t="shared" si="6"/>
        <v>1246.9054349339322</v>
      </c>
    </row>
    <row r="16" spans="1:16" ht="15.75">
      <c r="A16" s="353">
        <v>10</v>
      </c>
      <c r="B16" s="354" t="s">
        <v>21</v>
      </c>
      <c r="C16" s="352">
        <v>1197.02</v>
      </c>
      <c r="D16" s="352">
        <v>1827.44</v>
      </c>
      <c r="E16" s="352">
        <v>1654.25</v>
      </c>
      <c r="F16" s="352">
        <v>1860</v>
      </c>
      <c r="G16" s="352">
        <v>1971.26</v>
      </c>
      <c r="H16" s="352">
        <v>2146.2200000000003</v>
      </c>
      <c r="I16" s="352">
        <v>2500</v>
      </c>
      <c r="J16" s="497">
        <f t="shared" si="0"/>
        <v>1131.8695865955594</v>
      </c>
      <c r="K16" s="497">
        <f t="shared" si="1"/>
        <v>1590.1844761573268</v>
      </c>
      <c r="L16" s="497">
        <f t="shared" si="2"/>
        <v>1357.188566552901</v>
      </c>
      <c r="M16" s="497">
        <f t="shared" si="3"/>
        <v>1400.2017494993904</v>
      </c>
      <c r="N16" s="497">
        <f t="shared" si="4"/>
        <v>1367.20256342678</v>
      </c>
      <c r="O16" s="497">
        <f t="shared" si="5"/>
        <v>1388.9234034842486</v>
      </c>
      <c r="P16" s="497">
        <f t="shared" si="6"/>
        <v>1513.2347511334128</v>
      </c>
    </row>
    <row r="17" spans="1:16" ht="15.75">
      <c r="A17" s="353">
        <v>11</v>
      </c>
      <c r="B17" s="354" t="s">
        <v>22</v>
      </c>
      <c r="C17" s="352">
        <v>4818.7099907176671</v>
      </c>
      <c r="D17" s="352">
        <v>4094.4909164651503</v>
      </c>
      <c r="E17" s="352">
        <v>4744.228000000001</v>
      </c>
      <c r="F17" s="352">
        <v>6407.8465999999989</v>
      </c>
      <c r="G17" s="352">
        <v>5555.32</v>
      </c>
      <c r="H17" s="352">
        <v>6049.86</v>
      </c>
      <c r="I17" s="352">
        <v>8500</v>
      </c>
      <c r="J17" s="497">
        <f t="shared" si="0"/>
        <v>4556.4412333273449</v>
      </c>
      <c r="K17" s="497">
        <f t="shared" si="1"/>
        <v>3562.9054267883312</v>
      </c>
      <c r="L17" s="497">
        <f t="shared" si="2"/>
        <v>3892.2847203990559</v>
      </c>
      <c r="M17" s="497">
        <f t="shared" si="3"/>
        <v>4823.8053870127524</v>
      </c>
      <c r="N17" s="497">
        <f t="shared" si="4"/>
        <v>3852.9913581445667</v>
      </c>
      <c r="O17" s="497">
        <f t="shared" si="5"/>
        <v>3915.1588102818978</v>
      </c>
      <c r="P17" s="497">
        <f t="shared" si="6"/>
        <v>5144.9981538536031</v>
      </c>
    </row>
    <row r="18" spans="1:16" s="356" customFormat="1">
      <c r="A18" s="350"/>
      <c r="B18" s="351" t="s">
        <v>229</v>
      </c>
      <c r="C18" s="355">
        <f t="shared" ref="C18:I18" si="7">SUM(C7:C17)</f>
        <v>23725.639990717664</v>
      </c>
      <c r="D18" s="355">
        <f t="shared" si="7"/>
        <v>27780.610916465153</v>
      </c>
      <c r="E18" s="355">
        <f t="shared" si="7"/>
        <v>29787.768000000004</v>
      </c>
      <c r="F18" s="355">
        <f t="shared" si="7"/>
        <v>34243.936599999994</v>
      </c>
      <c r="G18" s="355">
        <f t="shared" si="7"/>
        <v>37385.770000000004</v>
      </c>
      <c r="H18" s="355">
        <f t="shared" si="7"/>
        <v>43715.270000000004</v>
      </c>
      <c r="I18" s="355">
        <f t="shared" si="7"/>
        <v>52961</v>
      </c>
      <c r="J18" s="498">
        <f t="shared" si="0"/>
        <v>22434.32050258866</v>
      </c>
      <c r="K18" s="498">
        <f t="shared" si="1"/>
        <v>24173.869575761531</v>
      </c>
      <c r="L18" s="498">
        <f t="shared" si="2"/>
        <v>24438.638750328173</v>
      </c>
      <c r="M18" s="498">
        <f t="shared" si="3"/>
        <v>25778.720396272147</v>
      </c>
      <c r="N18" s="498">
        <f t="shared" si="4"/>
        <v>25929.568184655505</v>
      </c>
      <c r="O18" s="498">
        <f t="shared" si="5"/>
        <v>28290.278532784556</v>
      </c>
      <c r="P18" s="498">
        <f t="shared" si="6"/>
        <v>32056.970261910668</v>
      </c>
    </row>
    <row r="19" spans="1:16" ht="15.75">
      <c r="A19" s="350" t="s">
        <v>230</v>
      </c>
      <c r="B19" s="351" t="s">
        <v>189</v>
      </c>
      <c r="C19" s="345"/>
      <c r="D19" s="345"/>
      <c r="E19" s="345"/>
      <c r="F19" s="345"/>
      <c r="G19" s="345"/>
      <c r="H19" s="345"/>
      <c r="I19" s="345"/>
      <c r="J19" s="497"/>
      <c r="K19" s="497"/>
      <c r="L19" s="497"/>
      <c r="M19" s="497"/>
      <c r="N19" s="497"/>
      <c r="O19" s="497"/>
      <c r="P19" s="497"/>
    </row>
    <row r="20" spans="1:16" ht="15.75">
      <c r="A20" s="353">
        <v>1</v>
      </c>
      <c r="B20" s="354" t="s">
        <v>25</v>
      </c>
      <c r="C20" s="352">
        <v>27178.14</v>
      </c>
      <c r="D20" s="352">
        <v>30629.89</v>
      </c>
      <c r="E20" s="352">
        <v>29405.25</v>
      </c>
      <c r="F20" s="352">
        <v>31592.91</v>
      </c>
      <c r="G20" s="352">
        <v>43000</v>
      </c>
      <c r="H20" s="352">
        <v>44113.189999999995</v>
      </c>
      <c r="I20" s="352">
        <v>53000</v>
      </c>
      <c r="J20" s="497">
        <f t="shared" ref="J20:J38" si="8">+C20/C$46</f>
        <v>25698.910700102118</v>
      </c>
      <c r="K20" s="497">
        <f t="shared" ref="K20:K38" si="9">+D20/D$46</f>
        <v>26653.22833275322</v>
      </c>
      <c r="L20" s="497">
        <f t="shared" ref="L20:L38" si="10">+E20/E$46</f>
        <v>24124.811302179049</v>
      </c>
      <c r="M20" s="497">
        <f t="shared" ref="M20:M38" si="11">+F20/F$46</f>
        <v>23783.036480525152</v>
      </c>
      <c r="N20" s="497">
        <f t="shared" ref="N20:N38" si="12">+G20/G$46</f>
        <v>29823.417624946247</v>
      </c>
      <c r="O20" s="497">
        <f t="shared" ref="O20:O38" si="13">+H20/H$46</f>
        <v>28547.791928761872</v>
      </c>
      <c r="P20" s="497">
        <f t="shared" ref="P20:P38" si="14">+I20/I$46</f>
        <v>32080.576724028349</v>
      </c>
    </row>
    <row r="21" spans="1:16" ht="15.75">
      <c r="A21" s="353">
        <v>2</v>
      </c>
      <c r="B21" s="354" t="s">
        <v>26</v>
      </c>
      <c r="C21" s="352">
        <v>10436.18</v>
      </c>
      <c r="D21" s="352">
        <v>13692.85</v>
      </c>
      <c r="E21" s="352">
        <v>16386.509999999998</v>
      </c>
      <c r="F21" s="352">
        <v>19312.069999999992</v>
      </c>
      <c r="G21" s="352">
        <v>24000</v>
      </c>
      <c r="H21" s="352">
        <v>25203.539999999997</v>
      </c>
      <c r="I21" s="352">
        <v>34000</v>
      </c>
      <c r="J21" s="497">
        <f t="shared" si="8"/>
        <v>9868.1682363175605</v>
      </c>
      <c r="K21" s="497">
        <f t="shared" si="9"/>
        <v>11915.114862513054</v>
      </c>
      <c r="L21" s="497">
        <f t="shared" si="10"/>
        <v>13443.907521659226</v>
      </c>
      <c r="M21" s="497">
        <f t="shared" si="11"/>
        <v>14538.061398093914</v>
      </c>
      <c r="N21" s="497">
        <f t="shared" si="12"/>
        <v>16645.628441830464</v>
      </c>
      <c r="O21" s="497">
        <f t="shared" si="13"/>
        <v>16310.437213636715</v>
      </c>
      <c r="P21" s="497">
        <f t="shared" si="14"/>
        <v>20579.992615414412</v>
      </c>
    </row>
    <row r="22" spans="1:16" ht="15.75">
      <c r="A22" s="353">
        <v>3</v>
      </c>
      <c r="B22" s="354" t="s">
        <v>27</v>
      </c>
      <c r="C22" s="352">
        <v>6048.2000000000044</v>
      </c>
      <c r="D22" s="352">
        <v>6553.67</v>
      </c>
      <c r="E22" s="352">
        <v>9494.77</v>
      </c>
      <c r="F22" s="352">
        <v>11334.17</v>
      </c>
      <c r="G22" s="352">
        <v>16997.66</v>
      </c>
      <c r="H22" s="352">
        <v>19888.77</v>
      </c>
      <c r="I22" s="352">
        <v>25250</v>
      </c>
      <c r="J22" s="497">
        <f t="shared" si="8"/>
        <v>5719.0135784258146</v>
      </c>
      <c r="K22" s="497">
        <f t="shared" si="9"/>
        <v>5702.8106508875744</v>
      </c>
      <c r="L22" s="497">
        <f t="shared" si="10"/>
        <v>7789.7496061958527</v>
      </c>
      <c r="M22" s="497">
        <f t="shared" si="11"/>
        <v>8532.3250877008086</v>
      </c>
      <c r="N22" s="497">
        <f t="shared" si="12"/>
        <v>11789.030530856833</v>
      </c>
      <c r="O22" s="497">
        <f t="shared" si="13"/>
        <v>12870.990914032773</v>
      </c>
      <c r="P22" s="497">
        <f t="shared" si="14"/>
        <v>15283.670986447469</v>
      </c>
    </row>
    <row r="23" spans="1:16" ht="15.75">
      <c r="A23" s="353">
        <v>4</v>
      </c>
      <c r="B23" s="354" t="s">
        <v>28</v>
      </c>
      <c r="C23" s="352">
        <v>1265.0799999999972</v>
      </c>
      <c r="D23" s="352">
        <v>1623.8397699999996</v>
      </c>
      <c r="E23" s="352">
        <v>2229.3099999999995</v>
      </c>
      <c r="F23" s="352">
        <v>2442.8999999999996</v>
      </c>
      <c r="G23" s="352">
        <v>2384.23</v>
      </c>
      <c r="H23" s="352">
        <v>3157.5099999999998</v>
      </c>
      <c r="I23" s="352">
        <v>4714.9999999999991</v>
      </c>
      <c r="J23" s="497">
        <f t="shared" si="8"/>
        <v>1196.2252732705447</v>
      </c>
      <c r="K23" s="497">
        <f t="shared" si="9"/>
        <v>1413.0175513400623</v>
      </c>
      <c r="L23" s="497">
        <f t="shared" si="10"/>
        <v>1828.9823444473611</v>
      </c>
      <c r="M23" s="497">
        <f t="shared" si="11"/>
        <v>1839.0069106731505</v>
      </c>
      <c r="N23" s="497">
        <f t="shared" si="12"/>
        <v>1653.6252791610602</v>
      </c>
      <c r="O23" s="497">
        <f t="shared" si="13"/>
        <v>2043.3783748802773</v>
      </c>
      <c r="P23" s="497">
        <f t="shared" si="14"/>
        <v>2853.9607406376158</v>
      </c>
    </row>
    <row r="24" spans="1:16" ht="15.75">
      <c r="A24" s="353">
        <v>5</v>
      </c>
      <c r="B24" s="354" t="s">
        <v>29</v>
      </c>
      <c r="C24" s="352">
        <v>15765.120000000006</v>
      </c>
      <c r="D24" s="352">
        <v>21940.82</v>
      </c>
      <c r="E24" s="352">
        <v>22582.17</v>
      </c>
      <c r="F24" s="352">
        <v>27553.35</v>
      </c>
      <c r="G24" s="352">
        <v>31070.74</v>
      </c>
      <c r="H24" s="352">
        <v>51338.45</v>
      </c>
      <c r="I24" s="352">
        <v>58999.999999999993</v>
      </c>
      <c r="J24" s="497">
        <f t="shared" si="8"/>
        <v>14907.069102462277</v>
      </c>
      <c r="K24" s="497">
        <f t="shared" si="9"/>
        <v>19092.255482074488</v>
      </c>
      <c r="L24" s="497">
        <f t="shared" si="10"/>
        <v>18526.983788395904</v>
      </c>
      <c r="M24" s="497">
        <f t="shared" si="11"/>
        <v>20742.069287402701</v>
      </c>
      <c r="N24" s="497">
        <f t="shared" si="12"/>
        <v>21549.66639386331</v>
      </c>
      <c r="O24" s="497">
        <f t="shared" si="13"/>
        <v>33223.609277523232</v>
      </c>
      <c r="P24" s="497">
        <f t="shared" si="14"/>
        <v>35712.340126748539</v>
      </c>
    </row>
    <row r="25" spans="1:16" ht="15.75">
      <c r="A25" s="353">
        <v>6</v>
      </c>
      <c r="B25" s="354" t="s">
        <v>30</v>
      </c>
      <c r="C25" s="352">
        <v>10709.6</v>
      </c>
      <c r="D25" s="352">
        <v>13849.01</v>
      </c>
      <c r="E25" s="352">
        <v>18922.329999999998</v>
      </c>
      <c r="F25" s="352">
        <v>15721.910000000002</v>
      </c>
      <c r="G25" s="352">
        <v>20358.14</v>
      </c>
      <c r="H25" s="352">
        <v>23510.730000000003</v>
      </c>
      <c r="I25" s="352">
        <v>27072</v>
      </c>
      <c r="J25" s="497">
        <f t="shared" si="8"/>
        <v>10126.706758954575</v>
      </c>
      <c r="K25" s="497">
        <f t="shared" si="9"/>
        <v>12051.000696136443</v>
      </c>
      <c r="L25" s="497">
        <f t="shared" si="10"/>
        <v>15524.358427408768</v>
      </c>
      <c r="M25" s="497">
        <f t="shared" si="11"/>
        <v>11835.401014769872</v>
      </c>
      <c r="N25" s="497">
        <f t="shared" si="12"/>
        <v>14119.751425281935</v>
      </c>
      <c r="O25" s="497">
        <f t="shared" si="13"/>
        <v>15214.937485439157</v>
      </c>
      <c r="P25" s="497">
        <f t="shared" si="14"/>
        <v>16386.516473073501</v>
      </c>
    </row>
    <row r="26" spans="1:16" ht="15.75">
      <c r="A26" s="353">
        <v>7</v>
      </c>
      <c r="B26" s="354" t="s">
        <v>31</v>
      </c>
      <c r="C26" s="352">
        <v>5524.2900000000009</v>
      </c>
      <c r="D26" s="352">
        <v>6667.5299999999988</v>
      </c>
      <c r="E26" s="352">
        <v>6746.5899999999983</v>
      </c>
      <c r="F26" s="352">
        <v>8525.4261000000006</v>
      </c>
      <c r="G26" s="352">
        <v>10199.42</v>
      </c>
      <c r="H26" s="352">
        <v>16300</v>
      </c>
      <c r="I26" s="352">
        <v>16800</v>
      </c>
      <c r="J26" s="497">
        <f t="shared" si="8"/>
        <v>5223.6185180982648</v>
      </c>
      <c r="K26" s="497">
        <f t="shared" si="9"/>
        <v>5801.8882701009388</v>
      </c>
      <c r="L26" s="497">
        <f t="shared" si="10"/>
        <v>5535.0731819375151</v>
      </c>
      <c r="M26" s="497">
        <f t="shared" si="11"/>
        <v>6417.9121185203039</v>
      </c>
      <c r="N26" s="497">
        <f t="shared" si="12"/>
        <v>7073.9898184239364</v>
      </c>
      <c r="O26" s="497">
        <f t="shared" si="13"/>
        <v>10548.523206751055</v>
      </c>
      <c r="P26" s="497">
        <f t="shared" si="14"/>
        <v>10168.937527616534</v>
      </c>
    </row>
    <row r="27" spans="1:16" ht="15.75">
      <c r="A27" s="353">
        <v>8</v>
      </c>
      <c r="B27" s="354" t="s">
        <v>32</v>
      </c>
      <c r="C27" s="352">
        <f>14594.13+2484.96</f>
        <v>17079.09</v>
      </c>
      <c r="D27" s="352">
        <f>18859.79+4165.59</f>
        <v>23025.38</v>
      </c>
      <c r="E27" s="352">
        <v>26956.226039590947</v>
      </c>
      <c r="F27" s="352">
        <v>31154.43054036202</v>
      </c>
      <c r="G27" s="352">
        <v>38450</v>
      </c>
      <c r="H27" s="352">
        <v>42099.99</v>
      </c>
      <c r="I27" s="352">
        <v>47000.000000000007</v>
      </c>
      <c r="J27" s="497">
        <f t="shared" si="8"/>
        <v>16149.523431294678</v>
      </c>
      <c r="K27" s="497">
        <f t="shared" si="9"/>
        <v>20036.007657500872</v>
      </c>
      <c r="L27" s="497">
        <f t="shared" si="10"/>
        <v>22115.570063985746</v>
      </c>
      <c r="M27" s="497">
        <f t="shared" si="11"/>
        <v>23452.950616812977</v>
      </c>
      <c r="N27" s="497">
        <f t="shared" si="12"/>
        <v>26667.683899515887</v>
      </c>
      <c r="O27" s="497">
        <f t="shared" si="13"/>
        <v>27244.952240428673</v>
      </c>
      <c r="P27" s="497">
        <f t="shared" si="14"/>
        <v>28448.813321308164</v>
      </c>
    </row>
    <row r="28" spans="1:16" ht="15.75">
      <c r="A28" s="353">
        <v>9</v>
      </c>
      <c r="B28" s="354" t="s">
        <v>33</v>
      </c>
      <c r="C28" s="352">
        <v>5815.4100000000053</v>
      </c>
      <c r="D28" s="352">
        <v>6689.4826712999984</v>
      </c>
      <c r="E28" s="352">
        <v>8540.8400000000038</v>
      </c>
      <c r="F28" s="352">
        <v>9242.25</v>
      </c>
      <c r="G28" s="352">
        <v>12010.01</v>
      </c>
      <c r="H28" s="352">
        <v>14015.05</v>
      </c>
      <c r="I28" s="352">
        <v>17000.000000000004</v>
      </c>
      <c r="J28" s="497">
        <f t="shared" si="8"/>
        <v>5498.893679791222</v>
      </c>
      <c r="K28" s="497">
        <f t="shared" si="9"/>
        <v>5820.9908382352924</v>
      </c>
      <c r="L28" s="497">
        <f t="shared" si="10"/>
        <v>7007.1212916776094</v>
      </c>
      <c r="M28" s="497">
        <f t="shared" si="11"/>
        <v>6957.5347415649139</v>
      </c>
      <c r="N28" s="497">
        <f t="shared" si="12"/>
        <v>8329.7568351111786</v>
      </c>
      <c r="O28" s="497">
        <f t="shared" si="13"/>
        <v>9069.8208692500848</v>
      </c>
      <c r="P28" s="497">
        <f t="shared" si="14"/>
        <v>10289.99630770721</v>
      </c>
    </row>
    <row r="29" spans="1:16" ht="15.75">
      <c r="A29" s="353">
        <v>10</v>
      </c>
      <c r="B29" s="354" t="s">
        <v>34</v>
      </c>
      <c r="C29" s="352">
        <v>10785.73</v>
      </c>
      <c r="D29" s="352">
        <v>11948.82</v>
      </c>
      <c r="E29" s="352">
        <v>14560.84</v>
      </c>
      <c r="F29" s="352">
        <v>18992.22</v>
      </c>
      <c r="G29" s="352">
        <v>27800.67</v>
      </c>
      <c r="H29" s="352">
        <v>28536.720000000001</v>
      </c>
      <c r="I29" s="352">
        <v>35500</v>
      </c>
      <c r="J29" s="497">
        <f t="shared" si="8"/>
        <v>10198.693218351676</v>
      </c>
      <c r="K29" s="497">
        <f t="shared" si="9"/>
        <v>10397.511312217195</v>
      </c>
      <c r="L29" s="497">
        <f t="shared" si="10"/>
        <v>11946.0816487267</v>
      </c>
      <c r="M29" s="497">
        <f t="shared" si="11"/>
        <v>14297.279392944793</v>
      </c>
      <c r="N29" s="497">
        <f t="shared" si="12"/>
        <v>19281.650968914288</v>
      </c>
      <c r="O29" s="497">
        <f t="shared" si="13"/>
        <v>18467.500194144599</v>
      </c>
      <c r="P29" s="497">
        <f t="shared" si="14"/>
        <v>21487.933466094462</v>
      </c>
    </row>
    <row r="30" spans="1:16" ht="15.75">
      <c r="A30" s="353">
        <v>11</v>
      </c>
      <c r="B30" s="354" t="s">
        <v>35</v>
      </c>
      <c r="C30" s="352">
        <v>18660.779999999984</v>
      </c>
      <c r="D30" s="352">
        <v>23292.369999999988</v>
      </c>
      <c r="E30" s="352">
        <v>29927.849999999984</v>
      </c>
      <c r="F30" s="352">
        <v>33057.07</v>
      </c>
      <c r="G30" s="352">
        <v>37054.18</v>
      </c>
      <c r="H30" s="352">
        <v>40358.35</v>
      </c>
      <c r="I30" s="352">
        <v>80500</v>
      </c>
      <c r="J30" s="497">
        <f t="shared" si="8"/>
        <v>17645.126517644374</v>
      </c>
      <c r="K30" s="497">
        <f t="shared" si="9"/>
        <v>20268.334493560727</v>
      </c>
      <c r="L30" s="497">
        <f t="shared" si="10"/>
        <v>24553.565568390641</v>
      </c>
      <c r="M30" s="497">
        <f t="shared" si="11"/>
        <v>24885.251208238609</v>
      </c>
      <c r="N30" s="497">
        <f t="shared" si="12"/>
        <v>25699.588020696065</v>
      </c>
      <c r="O30" s="497">
        <f t="shared" si="13"/>
        <v>26117.852243017267</v>
      </c>
      <c r="P30" s="497">
        <f t="shared" si="14"/>
        <v>48726.158986495888</v>
      </c>
    </row>
    <row r="31" spans="1:16" ht="15.75">
      <c r="A31" s="353">
        <v>12</v>
      </c>
      <c r="B31" s="354" t="s">
        <v>74</v>
      </c>
      <c r="C31" s="352">
        <v>5950.59</v>
      </c>
      <c r="D31" s="352">
        <v>7799.54</v>
      </c>
      <c r="E31" s="352">
        <v>9404.35</v>
      </c>
      <c r="F31" s="352">
        <v>11237.9</v>
      </c>
      <c r="G31" s="352">
        <v>11520</v>
      </c>
      <c r="H31" s="352">
        <v>17733.939999999999</v>
      </c>
      <c r="I31" s="352">
        <v>21500</v>
      </c>
      <c r="J31" s="497">
        <f t="shared" si="8"/>
        <v>5626.716214682855</v>
      </c>
      <c r="K31" s="497">
        <f t="shared" si="9"/>
        <v>6786.9300382875044</v>
      </c>
      <c r="L31" s="497">
        <f t="shared" si="10"/>
        <v>7715.5667498030989</v>
      </c>
      <c r="M31" s="497">
        <f t="shared" si="11"/>
        <v>8459.8533552146218</v>
      </c>
      <c r="N31" s="497">
        <f t="shared" si="12"/>
        <v>7989.9016520786226</v>
      </c>
      <c r="O31" s="497">
        <f t="shared" si="13"/>
        <v>11476.495560560172</v>
      </c>
      <c r="P31" s="497">
        <f t="shared" si="14"/>
        <v>13013.818859747349</v>
      </c>
    </row>
    <row r="32" spans="1:16" ht="15.75">
      <c r="A32" s="353">
        <v>13</v>
      </c>
      <c r="B32" s="354" t="s">
        <v>36</v>
      </c>
      <c r="C32" s="352">
        <v>5099.6099999999979</v>
      </c>
      <c r="D32" s="352">
        <v>6623.9100000000017</v>
      </c>
      <c r="E32" s="352">
        <v>4698.6100000000033</v>
      </c>
      <c r="F32" s="352">
        <v>7631.0099999999966</v>
      </c>
      <c r="G32" s="352">
        <v>11520</v>
      </c>
      <c r="H32" s="352">
        <v>12870.759999999998</v>
      </c>
      <c r="I32" s="352">
        <v>16125</v>
      </c>
      <c r="J32" s="497">
        <f t="shared" si="8"/>
        <v>4822.0526494950618</v>
      </c>
      <c r="K32" s="497">
        <f t="shared" si="9"/>
        <v>5763.9314305603912</v>
      </c>
      <c r="L32" s="497">
        <f t="shared" si="10"/>
        <v>3854.8585586768208</v>
      </c>
      <c r="M32" s="497">
        <f t="shared" si="11"/>
        <v>5744.5986841114718</v>
      </c>
      <c r="N32" s="497">
        <f t="shared" si="12"/>
        <v>7989.9016520786226</v>
      </c>
      <c r="O32" s="497">
        <f t="shared" si="13"/>
        <v>8329.2951256762699</v>
      </c>
      <c r="P32" s="497">
        <f t="shared" si="14"/>
        <v>9760.3641448105118</v>
      </c>
    </row>
    <row r="33" spans="1:16" ht="15.75">
      <c r="A33" s="353">
        <v>14</v>
      </c>
      <c r="B33" s="354" t="s">
        <v>37</v>
      </c>
      <c r="C33" s="352">
        <v>12636.150000000007</v>
      </c>
      <c r="D33" s="352">
        <v>14555.99</v>
      </c>
      <c r="E33" s="352">
        <v>17961.330000000002</v>
      </c>
      <c r="F33" s="352">
        <v>21676.859999999997</v>
      </c>
      <c r="G33" s="352">
        <v>27436.5</v>
      </c>
      <c r="H33" s="352">
        <v>34800</v>
      </c>
      <c r="I33" s="352">
        <v>40500</v>
      </c>
      <c r="J33" s="497">
        <f t="shared" si="8"/>
        <v>11948.400090774998</v>
      </c>
      <c r="K33" s="497">
        <f t="shared" si="9"/>
        <v>12666.193873999304</v>
      </c>
      <c r="L33" s="497">
        <f t="shared" si="10"/>
        <v>14735.929705959572</v>
      </c>
      <c r="M33" s="497">
        <f t="shared" si="11"/>
        <v>16318.26736325449</v>
      </c>
      <c r="N33" s="497">
        <f t="shared" si="12"/>
        <v>19029.074364345062</v>
      </c>
      <c r="O33" s="497">
        <f t="shared" si="13"/>
        <v>22520.773472082008</v>
      </c>
      <c r="P33" s="497">
        <f t="shared" si="14"/>
        <v>24514.402968361286</v>
      </c>
    </row>
    <row r="34" spans="1:16" ht="15.75">
      <c r="A34" s="353">
        <v>15</v>
      </c>
      <c r="B34" s="354" t="s">
        <v>38</v>
      </c>
      <c r="C34" s="352">
        <v>14224.3223</v>
      </c>
      <c r="D34" s="352">
        <v>16275.1</v>
      </c>
      <c r="E34" s="352">
        <v>17833.52</v>
      </c>
      <c r="F34" s="352">
        <v>20464.77</v>
      </c>
      <c r="G34" s="352">
        <v>23857.69</v>
      </c>
      <c r="H34" s="352">
        <v>28000</v>
      </c>
      <c r="I34" s="352">
        <v>37128</v>
      </c>
      <c r="J34" s="497">
        <f t="shared" si="8"/>
        <v>13450.132663867771</v>
      </c>
      <c r="K34" s="497">
        <f t="shared" si="9"/>
        <v>14162.112774103725</v>
      </c>
      <c r="L34" s="497">
        <f t="shared" si="10"/>
        <v>14631.071147282752</v>
      </c>
      <c r="M34" s="497">
        <f t="shared" si="11"/>
        <v>15405.810084463785</v>
      </c>
      <c r="N34" s="497">
        <f t="shared" si="12"/>
        <v>16546.926800848923</v>
      </c>
      <c r="O34" s="497">
        <f t="shared" si="13"/>
        <v>18120.162563744143</v>
      </c>
      <c r="P34" s="497">
        <f t="shared" si="14"/>
        <v>22473.351936032541</v>
      </c>
    </row>
    <row r="35" spans="1:16" ht="15.75">
      <c r="A35" s="353">
        <v>16</v>
      </c>
      <c r="B35" s="354" t="s">
        <v>39</v>
      </c>
      <c r="C35" s="352">
        <v>25249.019999999997</v>
      </c>
      <c r="D35" s="352">
        <v>34798.050000000003</v>
      </c>
      <c r="E35" s="352">
        <v>33591.229999999996</v>
      </c>
      <c r="F35" s="352">
        <v>38432.130000000005</v>
      </c>
      <c r="G35" s="352">
        <v>44215.49</v>
      </c>
      <c r="H35" s="352">
        <v>55364.329999999994</v>
      </c>
      <c r="I35" s="352">
        <v>69200</v>
      </c>
      <c r="J35" s="497">
        <f t="shared" si="8"/>
        <v>23874.78724611369</v>
      </c>
      <c r="K35" s="497">
        <f t="shared" si="9"/>
        <v>30280.238426731641</v>
      </c>
      <c r="L35" s="497">
        <f t="shared" si="10"/>
        <v>27559.095234969805</v>
      </c>
      <c r="M35" s="497">
        <f t="shared" si="11"/>
        <v>28931.578313434413</v>
      </c>
      <c r="N35" s="497">
        <f t="shared" si="12"/>
        <v>30666.442413061268</v>
      </c>
      <c r="O35" s="497">
        <f t="shared" si="13"/>
        <v>35828.95213688488</v>
      </c>
      <c r="P35" s="497">
        <f t="shared" si="14"/>
        <v>41886.337911372866</v>
      </c>
    </row>
    <row r="36" spans="1:16" ht="15.75">
      <c r="A36" s="353">
        <v>17</v>
      </c>
      <c r="B36" s="354" t="s">
        <v>40</v>
      </c>
      <c r="C36" s="352">
        <v>7355.0599999999995</v>
      </c>
      <c r="D36" s="352">
        <v>8752.529999999997</v>
      </c>
      <c r="E36" s="352">
        <v>12223.129999999997</v>
      </c>
      <c r="F36" s="352">
        <v>12647.47</v>
      </c>
      <c r="G36" s="352">
        <v>22214</v>
      </c>
      <c r="H36" s="352">
        <v>23605.14</v>
      </c>
      <c r="I36" s="352">
        <v>30313.999999999996</v>
      </c>
      <c r="J36" s="497">
        <f t="shared" si="8"/>
        <v>6954.744884451</v>
      </c>
      <c r="K36" s="497">
        <f t="shared" si="9"/>
        <v>7616.1938739993011</v>
      </c>
      <c r="L36" s="497">
        <f t="shared" si="10"/>
        <v>10028.165200840114</v>
      </c>
      <c r="M36" s="497">
        <f t="shared" si="11"/>
        <v>9520.9729143769109</v>
      </c>
      <c r="N36" s="497">
        <f t="shared" si="12"/>
        <v>15406.916258617579</v>
      </c>
      <c r="O36" s="497">
        <f t="shared" si="13"/>
        <v>15276.034790712123</v>
      </c>
      <c r="P36" s="497">
        <f t="shared" si="14"/>
        <v>18348.879298343309</v>
      </c>
    </row>
    <row r="37" spans="1:16" s="356" customFormat="1">
      <c r="A37" s="350"/>
      <c r="B37" s="351" t="s">
        <v>192</v>
      </c>
      <c r="C37" s="355">
        <f t="shared" ref="C37:I37" si="15">SUM(C20:C36)</f>
        <v>199782.37229999996</v>
      </c>
      <c r="D37" s="355">
        <f t="shared" si="15"/>
        <v>248718.78244130002</v>
      </c>
      <c r="E37" s="355">
        <f t="shared" si="15"/>
        <v>281464.85603959096</v>
      </c>
      <c r="F37" s="355">
        <f t="shared" si="15"/>
        <v>321018.846640362</v>
      </c>
      <c r="G37" s="355">
        <f t="shared" si="15"/>
        <v>404088.73000000004</v>
      </c>
      <c r="H37" s="355">
        <f t="shared" si="15"/>
        <v>480896.47</v>
      </c>
      <c r="I37" s="355">
        <f t="shared" si="15"/>
        <v>614604</v>
      </c>
      <c r="J37" s="498">
        <f t="shared" si="8"/>
        <v>188908.78276409843</v>
      </c>
      <c r="K37" s="498">
        <f t="shared" si="9"/>
        <v>216427.76056500175</v>
      </c>
      <c r="L37" s="498">
        <f t="shared" si="10"/>
        <v>230920.89134253658</v>
      </c>
      <c r="M37" s="498">
        <f t="shared" si="11"/>
        <v>241661.90897210289</v>
      </c>
      <c r="N37" s="498">
        <f t="shared" si="12"/>
        <v>280262.95237963129</v>
      </c>
      <c r="O37" s="498">
        <f t="shared" si="13"/>
        <v>311211.50759752531</v>
      </c>
      <c r="P37" s="498">
        <f t="shared" si="14"/>
        <v>372016.05239423999</v>
      </c>
    </row>
    <row r="38" spans="1:16" s="356" customFormat="1">
      <c r="A38" s="350"/>
      <c r="B38" s="351" t="s">
        <v>86</v>
      </c>
      <c r="C38" s="355">
        <f t="shared" ref="C38:I38" si="16">C37+C18</f>
        <v>223508.01229071763</v>
      </c>
      <c r="D38" s="355">
        <f t="shared" si="16"/>
        <v>276499.39335776516</v>
      </c>
      <c r="E38" s="355">
        <f t="shared" si="16"/>
        <v>311252.62403959094</v>
      </c>
      <c r="F38" s="355">
        <f t="shared" si="16"/>
        <v>355262.78324036201</v>
      </c>
      <c r="G38" s="355">
        <f t="shared" si="16"/>
        <v>441474.50000000006</v>
      </c>
      <c r="H38" s="355">
        <f t="shared" si="16"/>
        <v>524611.74</v>
      </c>
      <c r="I38" s="355">
        <f t="shared" si="16"/>
        <v>667565</v>
      </c>
      <c r="J38" s="498">
        <f t="shared" si="8"/>
        <v>211343.1032666871</v>
      </c>
      <c r="K38" s="498">
        <f t="shared" si="9"/>
        <v>240601.63014076327</v>
      </c>
      <c r="L38" s="498">
        <f t="shared" si="10"/>
        <v>255359.53009286473</v>
      </c>
      <c r="M38" s="498">
        <f t="shared" si="11"/>
        <v>267440.62936837506</v>
      </c>
      <c r="N38" s="498">
        <f t="shared" si="12"/>
        <v>306192.52056428679</v>
      </c>
      <c r="O38" s="498">
        <f t="shared" si="13"/>
        <v>339501.78613030986</v>
      </c>
      <c r="P38" s="498">
        <f t="shared" si="14"/>
        <v>404073.02265615069</v>
      </c>
    </row>
    <row r="39" spans="1:16" s="356" customFormat="1" ht="15.75">
      <c r="A39" s="350" t="s">
        <v>231</v>
      </c>
      <c r="B39" s="351" t="s">
        <v>232</v>
      </c>
      <c r="C39" s="355"/>
      <c r="D39" s="355"/>
      <c r="E39" s="355"/>
      <c r="F39" s="355"/>
      <c r="G39" s="355"/>
      <c r="H39" s="355"/>
      <c r="I39" s="355"/>
      <c r="J39" s="497"/>
      <c r="K39" s="497"/>
      <c r="L39" s="497"/>
      <c r="M39" s="497"/>
      <c r="N39" s="497"/>
      <c r="O39" s="497"/>
      <c r="P39" s="497"/>
    </row>
    <row r="40" spans="1:16" ht="15" customHeight="1">
      <c r="A40" s="353">
        <v>1</v>
      </c>
      <c r="B40" s="354" t="s">
        <v>233</v>
      </c>
      <c r="C40" s="352">
        <v>8747.427099999999</v>
      </c>
      <c r="D40" s="352">
        <v>9619.5153000000009</v>
      </c>
      <c r="E40" s="352">
        <v>11048.1445</v>
      </c>
      <c r="F40" s="352">
        <v>11400</v>
      </c>
      <c r="G40" s="352">
        <v>18110.310000000001</v>
      </c>
      <c r="H40" s="352">
        <v>16742.349999999999</v>
      </c>
      <c r="I40" s="352">
        <v>16626</v>
      </c>
      <c r="J40" s="497">
        <f t="shared" ref="J40:P43" si="17">+C40/C$46</f>
        <v>8271.3293808389117</v>
      </c>
      <c r="K40" s="497">
        <f t="shared" si="17"/>
        <v>8370.618952314655</v>
      </c>
      <c r="L40" s="497">
        <f t="shared" si="17"/>
        <v>9064.1773595431878</v>
      </c>
      <c r="M40" s="497">
        <f t="shared" si="17"/>
        <v>8581.8816904801351</v>
      </c>
      <c r="N40" s="497">
        <f t="shared" si="17"/>
        <v>12560.728801098612</v>
      </c>
      <c r="O40" s="497">
        <f t="shared" si="17"/>
        <v>10834.789417825063</v>
      </c>
      <c r="P40" s="497">
        <f t="shared" si="17"/>
        <v>10063.616388937648</v>
      </c>
    </row>
    <row r="41" spans="1:16" ht="15.75" customHeight="1">
      <c r="A41" s="353">
        <v>2</v>
      </c>
      <c r="B41" s="354" t="s">
        <v>44</v>
      </c>
      <c r="C41" s="352">
        <v>1086.7253000000001</v>
      </c>
      <c r="D41" s="352">
        <v>1060.7583999999999</v>
      </c>
      <c r="E41" s="352">
        <v>1449.9279999999999</v>
      </c>
      <c r="F41" s="352">
        <v>1562.5</v>
      </c>
      <c r="G41" s="352">
        <v>2750</v>
      </c>
      <c r="H41" s="352">
        <v>1392</v>
      </c>
      <c r="I41" s="352">
        <v>2000</v>
      </c>
      <c r="J41" s="497">
        <f t="shared" si="17"/>
        <v>1027.5779152010289</v>
      </c>
      <c r="K41" s="497">
        <f t="shared" si="17"/>
        <v>923.04072398190044</v>
      </c>
      <c r="L41" s="497">
        <f t="shared" si="17"/>
        <v>1189.5576266736675</v>
      </c>
      <c r="M41" s="497">
        <f t="shared" si="17"/>
        <v>1176.2447492434394</v>
      </c>
      <c r="N41" s="497">
        <f t="shared" si="17"/>
        <v>1907.311592293074</v>
      </c>
      <c r="O41" s="497">
        <f t="shared" si="17"/>
        <v>900.83093888328028</v>
      </c>
      <c r="P41" s="497">
        <f t="shared" si="17"/>
        <v>1210.5878009067303</v>
      </c>
    </row>
    <row r="42" spans="1:16" s="356" customFormat="1">
      <c r="A42" s="357"/>
      <c r="B42" s="358" t="s">
        <v>234</v>
      </c>
      <c r="C42" s="355">
        <f t="shared" ref="C42:I42" si="18">C40+C41</f>
        <v>9834.152399999999</v>
      </c>
      <c r="D42" s="355">
        <f t="shared" si="18"/>
        <v>10680.273700000002</v>
      </c>
      <c r="E42" s="355">
        <f t="shared" si="18"/>
        <v>12498.0725</v>
      </c>
      <c r="F42" s="355">
        <f t="shared" si="18"/>
        <v>12962.5</v>
      </c>
      <c r="G42" s="355">
        <f t="shared" si="18"/>
        <v>20860.310000000001</v>
      </c>
      <c r="H42" s="355">
        <f t="shared" si="18"/>
        <v>18134.349999999999</v>
      </c>
      <c r="I42" s="355">
        <f t="shared" si="18"/>
        <v>18626</v>
      </c>
      <c r="J42" s="498">
        <f t="shared" si="17"/>
        <v>9298.907296039939</v>
      </c>
      <c r="K42" s="498">
        <f t="shared" si="17"/>
        <v>9293.6596762965546</v>
      </c>
      <c r="L42" s="498">
        <f t="shared" si="17"/>
        <v>10253.734986216856</v>
      </c>
      <c r="M42" s="498">
        <f t="shared" si="17"/>
        <v>9758.1264397235736</v>
      </c>
      <c r="N42" s="498">
        <f t="shared" si="17"/>
        <v>14468.040393391686</v>
      </c>
      <c r="O42" s="498">
        <f t="shared" si="17"/>
        <v>11735.620356708343</v>
      </c>
      <c r="P42" s="498">
        <f t="shared" si="17"/>
        <v>11274.204189844379</v>
      </c>
    </row>
    <row r="43" spans="1:16" s="356" customFormat="1" ht="33" customHeight="1">
      <c r="A43" s="527" t="s">
        <v>235</v>
      </c>
      <c r="B43" s="528"/>
      <c r="C43" s="355">
        <f t="shared" ref="C43:I43" si="19">C37+C18+C42</f>
        <v>233342.16469071762</v>
      </c>
      <c r="D43" s="355">
        <f t="shared" si="19"/>
        <v>287179.66705776518</v>
      </c>
      <c r="E43" s="355">
        <f t="shared" si="19"/>
        <v>323750.69653959095</v>
      </c>
      <c r="F43" s="355">
        <f t="shared" si="19"/>
        <v>368225.28324036201</v>
      </c>
      <c r="G43" s="355">
        <f t="shared" si="19"/>
        <v>462334.81000000006</v>
      </c>
      <c r="H43" s="355">
        <f t="shared" si="19"/>
        <v>542746.09</v>
      </c>
      <c r="I43" s="355">
        <f t="shared" si="19"/>
        <v>686191</v>
      </c>
      <c r="J43" s="498">
        <f t="shared" si="17"/>
        <v>220642.01056272702</v>
      </c>
      <c r="K43" s="498">
        <f t="shared" si="17"/>
        <v>249895.28981705985</v>
      </c>
      <c r="L43" s="498">
        <f t="shared" si="17"/>
        <v>265613.26507908158</v>
      </c>
      <c r="M43" s="498">
        <f t="shared" si="17"/>
        <v>277198.75580809859</v>
      </c>
      <c r="N43" s="498">
        <f t="shared" si="17"/>
        <v>320660.56095767848</v>
      </c>
      <c r="O43" s="498">
        <f t="shared" si="17"/>
        <v>351237.40648701816</v>
      </c>
      <c r="P43" s="498">
        <f t="shared" si="17"/>
        <v>415347.22684599506</v>
      </c>
    </row>
    <row r="44" spans="1:16" ht="17.25" customHeight="1">
      <c r="B44" s="522" t="s">
        <v>236</v>
      </c>
      <c r="C44" s="522"/>
      <c r="D44" s="522"/>
      <c r="E44" s="522"/>
      <c r="F44" s="522"/>
      <c r="G44" s="522"/>
      <c r="H44" s="360"/>
      <c r="I44" s="360"/>
    </row>
    <row r="45" spans="1:16" ht="17.25" customHeight="1">
      <c r="B45" s="296"/>
      <c r="C45" s="297" t="s">
        <v>48</v>
      </c>
      <c r="D45" s="297" t="s">
        <v>49</v>
      </c>
      <c r="E45" s="297" t="s">
        <v>5</v>
      </c>
      <c r="F45" s="297" t="s">
        <v>6</v>
      </c>
      <c r="G45" s="298" t="s">
        <v>7</v>
      </c>
      <c r="H45" s="299" t="s">
        <v>122</v>
      </c>
      <c r="I45" s="299" t="s">
        <v>139</v>
      </c>
    </row>
    <row r="46" spans="1:16" ht="27">
      <c r="B46" s="300" t="s">
        <v>216</v>
      </c>
      <c r="C46" s="301">
        <v>1.0575600000000001</v>
      </c>
      <c r="D46" s="301">
        <v>1.1492</v>
      </c>
      <c r="E46" s="301">
        <v>1.21888</v>
      </c>
      <c r="F46" s="301">
        <v>1.3283799999999999</v>
      </c>
      <c r="G46" s="301">
        <v>1.4418200000000001</v>
      </c>
      <c r="H46" s="302">
        <v>1.5452399999999999</v>
      </c>
      <c r="I46" s="302">
        <v>1.6520900000000001</v>
      </c>
    </row>
  </sheetData>
  <mergeCells count="8">
    <mergeCell ref="B44:G44"/>
    <mergeCell ref="A1:P1"/>
    <mergeCell ref="A3:A4"/>
    <mergeCell ref="B3:B4"/>
    <mergeCell ref="J3:P3"/>
    <mergeCell ref="A43:B43"/>
    <mergeCell ref="C3:I3"/>
    <mergeCell ref="O2:P2"/>
  </mergeCells>
  <phoneticPr fontId="42" type="noConversion"/>
  <printOptions horizontalCentered="1"/>
  <pageMargins left="0.23622047244094499" right="0.27559055118110198" top="0.78740157480314998" bottom="0.78740157480314998" header="0.511811023622047" footer="0.511811023622047"/>
  <pageSetup paperSize="9" scale="63" orientation="landscape" horizontalDpi="4294967295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W43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5" sqref="B5"/>
    </sheetView>
  </sheetViews>
  <sheetFormatPr defaultRowHeight="12.75"/>
  <cols>
    <col min="1" max="1" width="4.85546875" style="25" customWidth="1"/>
    <col min="2" max="2" width="34.7109375" customWidth="1"/>
    <col min="3" max="3" width="13" customWidth="1"/>
    <col min="4" max="4" width="11.7109375" customWidth="1"/>
    <col min="5" max="5" width="12.140625" style="14" customWidth="1"/>
    <col min="6" max="8" width="12.28515625" style="14" customWidth="1"/>
    <col min="9" max="9" width="12.28515625" style="220" customWidth="1"/>
    <col min="10" max="11" width="11" customWidth="1"/>
    <col min="12" max="16" width="11" style="14" customWidth="1"/>
    <col min="17" max="18" width="11.28515625" customWidth="1"/>
    <col min="19" max="22" width="11.28515625" style="14" customWidth="1"/>
    <col min="23" max="23" width="10.28515625" style="14" customWidth="1"/>
  </cols>
  <sheetData>
    <row r="1" spans="1:23" ht="33.75" customHeight="1">
      <c r="A1" s="664" t="s">
        <v>108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  <c r="P1" s="664"/>
      <c r="Q1" s="665"/>
      <c r="R1" s="665"/>
      <c r="S1" s="665"/>
      <c r="T1" s="665"/>
      <c r="U1" s="665"/>
      <c r="V1" s="665"/>
    </row>
    <row r="2" spans="1:23" ht="35.25" customHeight="1">
      <c r="A2" s="599" t="s">
        <v>0</v>
      </c>
      <c r="B2" s="666" t="s">
        <v>118</v>
      </c>
      <c r="C2" s="638" t="s">
        <v>82</v>
      </c>
      <c r="D2" s="639"/>
      <c r="E2" s="639"/>
      <c r="F2" s="639"/>
      <c r="G2" s="639"/>
      <c r="H2" s="639"/>
      <c r="I2" s="640"/>
      <c r="J2" s="611" t="s">
        <v>165</v>
      </c>
      <c r="K2" s="612"/>
      <c r="L2" s="612"/>
      <c r="M2" s="612"/>
      <c r="N2" s="612"/>
      <c r="O2" s="612"/>
      <c r="P2" s="613"/>
      <c r="Q2" s="614" t="s">
        <v>166</v>
      </c>
      <c r="R2" s="614"/>
      <c r="S2" s="614"/>
      <c r="T2" s="614"/>
      <c r="U2" s="614"/>
      <c r="V2" s="614"/>
      <c r="W2" s="614"/>
    </row>
    <row r="3" spans="1:23" ht="27" customHeight="1">
      <c r="A3" s="599"/>
      <c r="B3" s="667"/>
      <c r="C3" s="123" t="s">
        <v>3</v>
      </c>
      <c r="D3" s="123" t="s">
        <v>4</v>
      </c>
      <c r="E3" s="123" t="s">
        <v>5</v>
      </c>
      <c r="F3" s="123" t="s">
        <v>6</v>
      </c>
      <c r="G3" s="123" t="s">
        <v>7</v>
      </c>
      <c r="H3" s="123" t="s">
        <v>122</v>
      </c>
      <c r="I3" s="123" t="s">
        <v>139</v>
      </c>
      <c r="J3" s="2" t="s">
        <v>3</v>
      </c>
      <c r="K3" s="2" t="s">
        <v>4</v>
      </c>
      <c r="L3" s="1" t="s">
        <v>5</v>
      </c>
      <c r="M3" s="1" t="s">
        <v>6</v>
      </c>
      <c r="N3" s="1" t="s">
        <v>7</v>
      </c>
      <c r="O3" s="1" t="s">
        <v>122</v>
      </c>
      <c r="P3" s="1" t="s">
        <v>139</v>
      </c>
      <c r="Q3" s="123" t="s">
        <v>3</v>
      </c>
      <c r="R3" s="123" t="s">
        <v>4</v>
      </c>
      <c r="S3" s="123" t="s">
        <v>5</v>
      </c>
      <c r="T3" s="123" t="s">
        <v>6</v>
      </c>
      <c r="U3" s="123" t="s">
        <v>7</v>
      </c>
      <c r="V3" s="123" t="s">
        <v>122</v>
      </c>
      <c r="W3" s="123" t="s">
        <v>139</v>
      </c>
    </row>
    <row r="4" spans="1:23" ht="17.25" customHeight="1">
      <c r="A4" s="599"/>
      <c r="B4" s="122">
        <v>41834</v>
      </c>
      <c r="C4" s="123" t="s">
        <v>8</v>
      </c>
      <c r="D4" s="123" t="s">
        <v>8</v>
      </c>
      <c r="E4" s="123" t="s">
        <v>8</v>
      </c>
      <c r="F4" s="123" t="s">
        <v>8</v>
      </c>
      <c r="G4" s="123" t="s">
        <v>8</v>
      </c>
      <c r="H4" s="123" t="s">
        <v>50</v>
      </c>
      <c r="I4" s="123" t="s">
        <v>10</v>
      </c>
      <c r="J4" s="668" t="s">
        <v>77</v>
      </c>
      <c r="K4" s="669"/>
      <c r="L4" s="669"/>
      <c r="M4" s="669"/>
      <c r="N4" s="669"/>
      <c r="O4" s="669"/>
      <c r="P4" s="670"/>
      <c r="Q4" s="123" t="s">
        <v>8</v>
      </c>
      <c r="R4" s="123" t="s">
        <v>8</v>
      </c>
      <c r="S4" s="123" t="s">
        <v>8</v>
      </c>
      <c r="T4" s="123" t="s">
        <v>8</v>
      </c>
      <c r="U4" s="123" t="s">
        <v>8</v>
      </c>
      <c r="V4" s="123" t="s">
        <v>50</v>
      </c>
      <c r="W4" s="123" t="s">
        <v>10</v>
      </c>
    </row>
    <row r="5" spans="1:23">
      <c r="A5" s="3"/>
      <c r="B5" s="4" t="s">
        <v>11</v>
      </c>
      <c r="C5" s="124"/>
      <c r="D5" s="124"/>
      <c r="E5" s="124"/>
      <c r="F5" s="124"/>
      <c r="G5" s="124"/>
      <c r="H5" s="124"/>
      <c r="I5" s="124"/>
      <c r="J5" s="4"/>
      <c r="K5" s="4"/>
      <c r="L5" s="5"/>
      <c r="M5" s="5"/>
      <c r="N5" s="5"/>
      <c r="O5" s="5"/>
      <c r="P5" s="5"/>
      <c r="Q5" s="140"/>
      <c r="R5" s="140"/>
      <c r="S5" s="143"/>
      <c r="T5" s="143"/>
      <c r="U5" s="143"/>
      <c r="V5" s="143"/>
      <c r="W5" s="143"/>
    </row>
    <row r="6" spans="1:23" ht="19.5" customHeight="1">
      <c r="A6" s="3">
        <v>1</v>
      </c>
      <c r="B6" s="6" t="s">
        <v>12</v>
      </c>
      <c r="C6" s="132">
        <f ca="1">+'Salaries (% Total Expenditure)'!J6</f>
        <v>3185.28</v>
      </c>
      <c r="D6" s="132">
        <f ca="1">+'Salaries (% Total Expenditure)'!K6</f>
        <v>4341.41</v>
      </c>
      <c r="E6" s="132">
        <f ca="1">+'Salaries (% Total Expenditure)'!L6</f>
        <v>4931.3500000000004</v>
      </c>
      <c r="F6" s="132">
        <f ca="1">+'Salaries (% Total Expenditure)'!M6</f>
        <v>5399.74</v>
      </c>
      <c r="G6" s="132">
        <f ca="1">+'Salaries (% Total Expenditure)'!N6</f>
        <v>6458.23</v>
      </c>
      <c r="H6" s="132">
        <f ca="1">+'Salaries (% Total Expenditure)'!O6</f>
        <v>5998.18</v>
      </c>
      <c r="I6" s="132">
        <f ca="1">+'Salaries (% Total Expenditure)'!P6</f>
        <v>8016.17</v>
      </c>
      <c r="J6" s="81">
        <f ca="1">+'Per Capita Plan Expenditure'!J6</f>
        <v>0.12786574501684686</v>
      </c>
      <c r="K6" s="81">
        <f ca="1">+'Per Capita Plan Expenditure'!K6</f>
        <v>0.1308716724211223</v>
      </c>
      <c r="L6" s="81">
        <f ca="1">+'Per Capita Plan Expenditure'!L6</f>
        <v>0.13393853684639914</v>
      </c>
      <c r="M6" s="81">
        <f ca="1">+'Per Capita Plan Expenditure'!M6</f>
        <v>0.13706887690687536</v>
      </c>
      <c r="N6" s="81">
        <f ca="1">+'Per Capita Plan Expenditure'!N6</f>
        <v>0.14026699866888859</v>
      </c>
      <c r="O6" s="81">
        <f ca="1">+'Per Capita Plan Expenditure'!O6</f>
        <v>0.14355350706310671</v>
      </c>
      <c r="P6" s="88">
        <f ca="1">+'Per Capita Plan Expenditure'!P6</f>
        <v>0.14691483346585812</v>
      </c>
      <c r="Q6" s="146">
        <f t="shared" ref="Q6:W6" si="0">+C6/J6</f>
        <v>24911.128461968652</v>
      </c>
      <c r="R6" s="146">
        <f t="shared" si="0"/>
        <v>33173.030646617677</v>
      </c>
      <c r="S6" s="146">
        <f t="shared" si="0"/>
        <v>36818.007095711953</v>
      </c>
      <c r="T6" s="146">
        <f t="shared" si="0"/>
        <v>39394.355026842342</v>
      </c>
      <c r="U6" s="146">
        <f t="shared" si="0"/>
        <v>46042.405279128878</v>
      </c>
      <c r="V6" s="146">
        <f t="shared" si="0"/>
        <v>41783.583854647142</v>
      </c>
      <c r="W6" s="146">
        <f t="shared" si="0"/>
        <v>54563.380775726066</v>
      </c>
    </row>
    <row r="7" spans="1:23" ht="19.5" customHeight="1">
      <c r="A7" s="3">
        <v>2</v>
      </c>
      <c r="B7" s="6" t="s">
        <v>13</v>
      </c>
      <c r="C7" s="132">
        <f ca="1">+'Salaries (% Total Expenditure)'!J7</f>
        <v>14575.2</v>
      </c>
      <c r="D7" s="132">
        <f ca="1">+'Salaries (% Total Expenditure)'!K7</f>
        <v>16722.82</v>
      </c>
      <c r="E7" s="132">
        <f ca="1">+'Salaries (% Total Expenditure)'!L7</f>
        <v>20565.72</v>
      </c>
      <c r="F7" s="132">
        <f ca="1">+'Salaries (% Total Expenditure)'!M7</f>
        <v>29259.66</v>
      </c>
      <c r="G7" s="132">
        <f ca="1">+'Salaries (% Total Expenditure)'!N7</f>
        <v>29792.86</v>
      </c>
      <c r="H7" s="132">
        <f ca="1">+'Salaries (% Total Expenditure)'!O7</f>
        <v>33637.61</v>
      </c>
      <c r="I7" s="132">
        <f ca="1">+'Salaries (% Total Expenditure)'!P7</f>
        <v>40936.720000000001</v>
      </c>
      <c r="J7" s="81">
        <f ca="1">+'Per Capita Plan Expenditure'!J7</f>
        <v>2.9282292155941758</v>
      </c>
      <c r="K7" s="81">
        <f ca="1">+'Per Capita Plan Expenditure'!K7</f>
        <v>2.9660151873521725</v>
      </c>
      <c r="L7" s="81">
        <f ca="1">+'Per Capita Plan Expenditure'!L7</f>
        <v>3.0036641651692917</v>
      </c>
      <c r="M7" s="81">
        <f ca="1">+'Per Capita Plan Expenditure'!M7</f>
        <v>3.0412850968658387</v>
      </c>
      <c r="N7" s="81">
        <f ca="1">+'Per Capita Plan Expenditure'!N7</f>
        <v>3.0791157490045311</v>
      </c>
      <c r="O7" s="81">
        <f ca="1">+'Per Capita Plan Expenditure'!O7</f>
        <v>3.1167140210006177</v>
      </c>
      <c r="P7" s="88">
        <f ca="1">+'Per Capita Plan Expenditure'!P7</f>
        <v>3.1539672951633086</v>
      </c>
      <c r="Q7" s="146">
        <f t="shared" ref="Q7:Q17" si="1">+C7/J7</f>
        <v>4977.4791954059865</v>
      </c>
      <c r="R7" s="146">
        <f t="shared" ref="R7:R17" si="2">+D7/K7</f>
        <v>5638.1437530428939</v>
      </c>
      <c r="S7" s="146">
        <f t="shared" ref="S7:S16" si="3">+E7/L7</f>
        <v>6846.8773035553004</v>
      </c>
      <c r="T7" s="146">
        <f t="shared" ref="T7:T16" si="4">+F7/M7</f>
        <v>9620.8211555546713</v>
      </c>
      <c r="U7" s="146">
        <f t="shared" ref="U7:U16" si="5">+G7/N7</f>
        <v>9675.7843577760741</v>
      </c>
      <c r="V7" s="146">
        <f t="shared" ref="V7:W16" si="6">+H7/O7</f>
        <v>10792.652060262071</v>
      </c>
      <c r="W7" s="146">
        <f t="shared" si="6"/>
        <v>12979.437060992208</v>
      </c>
    </row>
    <row r="8" spans="1:23" ht="19.5" customHeight="1">
      <c r="A8" s="3">
        <v>3</v>
      </c>
      <c r="B8" s="6" t="s">
        <v>14</v>
      </c>
      <c r="C8" s="132">
        <f ca="1">+'Salaries (% Total Expenditure)'!J8</f>
        <v>9719.19</v>
      </c>
      <c r="D8" s="132">
        <f ca="1">+'Salaries (% Total Expenditure)'!K8</f>
        <v>11606.81</v>
      </c>
      <c r="E8" s="132">
        <f ca="1">+'Salaries (% Total Expenditure)'!L8</f>
        <v>13164.12</v>
      </c>
      <c r="F8" s="132">
        <f ca="1">+'Salaries (% Total Expenditure)'!M8</f>
        <v>15961.6</v>
      </c>
      <c r="G8" s="132">
        <f ca="1">+'Salaries (% Total Expenditure)'!N8</f>
        <v>16200.78</v>
      </c>
      <c r="H8" s="132">
        <f ca="1">+'Salaries (% Total Expenditure)'!O8</f>
        <v>18597.63</v>
      </c>
      <c r="I8" s="132">
        <f ca="1">+'Salaries (% Total Expenditure)'!P8</f>
        <v>20408.990000000002</v>
      </c>
      <c r="J8" s="81">
        <f ca="1">+'Per Capita Plan Expenditure'!J8</f>
        <v>0.65671084078140518</v>
      </c>
      <c r="K8" s="81">
        <f ca="1">+'Per Capita Plan Expenditure'!K8</f>
        <v>0.66359213153241203</v>
      </c>
      <c r="L8" s="81">
        <f ca="1">+'Per Capita Plan Expenditure'!L8</f>
        <v>0.67019450573011763</v>
      </c>
      <c r="M8" s="81">
        <f ca="1">+'Per Capita Plan Expenditure'!M8</f>
        <v>0.67669396281437522</v>
      </c>
      <c r="N8" s="81">
        <f ca="1">+'Per Capita Plan Expenditure'!N8</f>
        <v>0.69010098766654204</v>
      </c>
      <c r="O8" s="81">
        <f ca="1">+'Per Capita Plan Expenditure'!O8</f>
        <v>0.69713778804785764</v>
      </c>
      <c r="P8" s="88">
        <f ca="1">+'Per Capita Plan Expenditure'!P8</f>
        <v>0.70417118093174436</v>
      </c>
      <c r="Q8" s="146">
        <f t="shared" si="1"/>
        <v>14799.801368339464</v>
      </c>
      <c r="R8" s="146">
        <f t="shared" si="2"/>
        <v>17490.879485259666</v>
      </c>
      <c r="S8" s="146">
        <f t="shared" si="3"/>
        <v>19642.238018139011</v>
      </c>
      <c r="T8" s="146">
        <f t="shared" si="4"/>
        <v>23587.61992439771</v>
      </c>
      <c r="U8" s="146">
        <f t="shared" si="5"/>
        <v>23475.955388471702</v>
      </c>
      <c r="V8" s="146">
        <f t="shared" si="6"/>
        <v>26677.122254522368</v>
      </c>
      <c r="W8" s="146">
        <f t="shared" si="6"/>
        <v>28982.995261173935</v>
      </c>
    </row>
    <row r="9" spans="1:23" ht="19.5" customHeight="1">
      <c r="A9" s="3">
        <v>4</v>
      </c>
      <c r="B9" s="6" t="s">
        <v>52</v>
      </c>
      <c r="C9" s="132">
        <f ca="1">+'Salaries (% Total Expenditure)'!J9</f>
        <v>15906.32</v>
      </c>
      <c r="D9" s="132">
        <f ca="1">+'Salaries (% Total Expenditure)'!K9</f>
        <v>17011.68</v>
      </c>
      <c r="E9" s="132">
        <f ca="1">+'Salaries (% Total Expenditure)'!L9</f>
        <v>21606.78</v>
      </c>
      <c r="F9" s="132">
        <f ca="1">+'Salaries (% Total Expenditure)'!M9</f>
        <v>24601.98</v>
      </c>
      <c r="G9" s="132">
        <f ca="1">+'Salaries (% Total Expenditure)'!N9</f>
        <v>28644.92</v>
      </c>
      <c r="H9" s="132">
        <f ca="1">+'Salaries (% Total Expenditure)'!O9</f>
        <v>30434.65</v>
      </c>
      <c r="I9" s="132">
        <f ca="1">+'Salaries (% Total Expenditure)'!P9</f>
        <v>36500</v>
      </c>
      <c r="J9" s="81">
        <f ca="1">+'Per Capita Plan Expenditure'!J9</f>
        <v>1.1192072282133489</v>
      </c>
      <c r="K9" s="81">
        <f ca="1">+'Per Capita Plan Expenditure'!K9</f>
        <v>1.1349794783529723</v>
      </c>
      <c r="L9" s="81">
        <f ca="1">+'Per Capita Plan Expenditure'!L9</f>
        <v>1.1506092124814264</v>
      </c>
      <c r="M9" s="81">
        <f ca="1">+'Per Capita Plan Expenditure'!M9</f>
        <v>1.1659058594626954</v>
      </c>
      <c r="N9" s="81">
        <f ca="1">+'Per Capita Plan Expenditure'!N9</f>
        <v>1.180605336519315</v>
      </c>
      <c r="O9" s="81">
        <f ca="1">+'Per Capita Plan Expenditure'!O9</f>
        <v>1.1951915794379819</v>
      </c>
      <c r="P9" s="88">
        <f ca="1">+'Per Capita Plan Expenditure'!P9</f>
        <v>1.20959457335222</v>
      </c>
      <c r="Q9" s="146">
        <f t="shared" si="1"/>
        <v>14212.131229166665</v>
      </c>
      <c r="R9" s="146">
        <f t="shared" si="2"/>
        <v>14988.535321084864</v>
      </c>
      <c r="S9" s="146">
        <f t="shared" si="3"/>
        <v>18778.556407872307</v>
      </c>
      <c r="T9" s="146">
        <f t="shared" si="4"/>
        <v>21101.171934531452</v>
      </c>
      <c r="U9" s="146">
        <f t="shared" si="5"/>
        <v>24262.909131388093</v>
      </c>
      <c r="V9" s="146">
        <f t="shared" si="6"/>
        <v>25464.243995352917</v>
      </c>
      <c r="W9" s="146">
        <f t="shared" si="6"/>
        <v>30175.399926642713</v>
      </c>
    </row>
    <row r="10" spans="1:23" ht="19.5" customHeight="1">
      <c r="A10" s="3">
        <v>5</v>
      </c>
      <c r="B10" s="6" t="s">
        <v>16</v>
      </c>
      <c r="C10" s="132">
        <f ca="1">+'Salaries (% Total Expenditure)'!J10</f>
        <v>3408.4</v>
      </c>
      <c r="D10" s="132">
        <f ca="1">+'Salaries (% Total Expenditure)'!K10</f>
        <v>4090.16</v>
      </c>
      <c r="E10" s="132">
        <f ca="1">+'Salaries (% Total Expenditure)'!L10</f>
        <v>4609.07</v>
      </c>
      <c r="F10" s="132">
        <f ca="1">+'Salaries (% Total Expenditure)'!M10</f>
        <v>5999.86</v>
      </c>
      <c r="G10" s="132">
        <f ca="1">+'Salaries (% Total Expenditure)'!N10</f>
        <v>6702.4</v>
      </c>
      <c r="H10" s="132">
        <f ca="1">+'Salaries (% Total Expenditure)'!O10</f>
        <v>6821.4</v>
      </c>
      <c r="I10" s="132">
        <f ca="1">+'Salaries (% Total Expenditure)'!P10</f>
        <v>9224.1</v>
      </c>
      <c r="J10" s="81">
        <f ca="1">+'Per Capita Plan Expenditure'!J10</f>
        <v>0.26194084787597971</v>
      </c>
      <c r="K10" s="81">
        <f ca="1">+'Per Capita Plan Expenditure'!K10</f>
        <v>0.2669842166875227</v>
      </c>
      <c r="L10" s="81">
        <f ca="1">+'Per Capita Plan Expenditure'!L10</f>
        <v>0.2720797195054438</v>
      </c>
      <c r="M10" s="81">
        <f ca="1">+'Per Capita Plan Expenditure'!M10</f>
        <v>0.27721129584183057</v>
      </c>
      <c r="N10" s="81">
        <f ca="1">+'Per Capita Plan Expenditure'!N10</f>
        <v>0.2823442909224595</v>
      </c>
      <c r="O10" s="81">
        <f ca="1">+'Per Capita Plan Expenditure'!O10</f>
        <v>0.28757471075286506</v>
      </c>
      <c r="P10" s="88">
        <f ca="1">+'Per Capita Plan Expenditure'!P10</f>
        <v>0.29290202395948489</v>
      </c>
      <c r="Q10" s="146">
        <f t="shared" si="1"/>
        <v>13012.098065796001</v>
      </c>
      <c r="R10" s="146">
        <f t="shared" si="2"/>
        <v>15319.856921681281</v>
      </c>
      <c r="S10" s="146">
        <f t="shared" si="3"/>
        <v>16940.145367607161</v>
      </c>
      <c r="T10" s="146">
        <f t="shared" si="4"/>
        <v>21643.634620947629</v>
      </c>
      <c r="U10" s="146">
        <f t="shared" si="5"/>
        <v>23738.393923611107</v>
      </c>
      <c r="V10" s="146">
        <f t="shared" si="6"/>
        <v>23720.444618171416</v>
      </c>
      <c r="W10" s="146">
        <f t="shared" si="6"/>
        <v>31492.100584719436</v>
      </c>
    </row>
    <row r="11" spans="1:23" ht="19.5" customHeight="1">
      <c r="A11" s="3">
        <v>6</v>
      </c>
      <c r="B11" s="6" t="s">
        <v>17</v>
      </c>
      <c r="C11" s="132">
        <f ca="1">+'Salaries (% Total Expenditure)'!J11</f>
        <v>2672.06</v>
      </c>
      <c r="D11" s="132">
        <f ca="1">+'Salaries (% Total Expenditure)'!K11</f>
        <v>3263.99</v>
      </c>
      <c r="E11" s="132">
        <f ca="1">+'Salaries (% Total Expenditure)'!L11</f>
        <v>3690.32</v>
      </c>
      <c r="F11" s="132">
        <f ca="1">+'Salaries (% Total Expenditure)'!M11</f>
        <v>4629.12</v>
      </c>
      <c r="G11" s="132">
        <f ca="1">+'Salaries (% Total Expenditure)'!N11</f>
        <v>5742.43</v>
      </c>
      <c r="H11" s="132">
        <f ca="1">+'Salaries (% Total Expenditure)'!O11</f>
        <v>5954.88</v>
      </c>
      <c r="I11" s="132">
        <f ca="1">+'Salaries (% Total Expenditure)'!P11</f>
        <v>9135.9</v>
      </c>
      <c r="J11" s="81">
        <f ca="1">+'Per Capita Plan Expenditure'!J11</f>
        <v>0.25180402582605393</v>
      </c>
      <c r="K11" s="81">
        <f ca="1">+'Per Capita Plan Expenditure'!K11</f>
        <v>0.25481112781213811</v>
      </c>
      <c r="L11" s="81">
        <f ca="1">+'Per Capita Plan Expenditure'!L11</f>
        <v>0.25779982383755967</v>
      </c>
      <c r="M11" s="81">
        <f ca="1">+'Per Capita Plan Expenditure'!M11</f>
        <v>0.260896043523274</v>
      </c>
      <c r="N11" s="81">
        <f ca="1">+'Per Capita Plan Expenditure'!N11</f>
        <v>0.26390718782023131</v>
      </c>
      <c r="O11" s="81">
        <f ca="1">+'Per Capita Plan Expenditure'!O11</f>
        <v>0.26689966897988676</v>
      </c>
      <c r="P11" s="88">
        <f ca="1">+'Per Capita Plan Expenditure'!P11</f>
        <v>0.26999925942383174</v>
      </c>
      <c r="Q11" s="146">
        <f t="shared" si="1"/>
        <v>10611.665128205128</v>
      </c>
      <c r="R11" s="146">
        <f t="shared" si="2"/>
        <v>12809.448425684168</v>
      </c>
      <c r="S11" s="146">
        <f t="shared" si="3"/>
        <v>14314.672310735481</v>
      </c>
      <c r="T11" s="146">
        <f t="shared" si="4"/>
        <v>17743.159066293181</v>
      </c>
      <c r="U11" s="146">
        <f t="shared" si="5"/>
        <v>21759.27850783525</v>
      </c>
      <c r="V11" s="146">
        <f t="shared" si="6"/>
        <v>22311.305303450012</v>
      </c>
      <c r="W11" s="146">
        <f t="shared" si="6"/>
        <v>33836.759476658073</v>
      </c>
    </row>
    <row r="12" spans="1:23" ht="19.5" customHeight="1">
      <c r="A12" s="3">
        <v>7</v>
      </c>
      <c r="B12" s="6" t="s">
        <v>18</v>
      </c>
      <c r="C12" s="132">
        <f ca="1">+'Salaries (% Total Expenditure)'!J12</f>
        <v>2339.2600000000002</v>
      </c>
      <c r="D12" s="132">
        <f ca="1">+'Salaries (% Total Expenditure)'!K12</f>
        <v>2752.83</v>
      </c>
      <c r="E12" s="132">
        <f ca="1">+'Salaries (% Total Expenditure)'!L12</f>
        <v>3333.08</v>
      </c>
      <c r="F12" s="132">
        <f ca="1">+'Salaries (% Total Expenditure)'!M12</f>
        <v>3975.9</v>
      </c>
      <c r="G12" s="132">
        <f ca="1">+'Salaries (% Total Expenditure)'!N12</f>
        <v>4367.1400000000003</v>
      </c>
      <c r="H12" s="132">
        <f ca="1">+'Salaries (% Total Expenditure)'!O12</f>
        <v>5146.71</v>
      </c>
      <c r="I12" s="132">
        <f ca="1">+'Salaries (% Total Expenditure)'!P12</f>
        <v>5753.55</v>
      </c>
      <c r="J12" s="81">
        <f ca="1">+'Per Capita Plan Expenditure'!J12</f>
        <v>0.10499261265698104</v>
      </c>
      <c r="K12" s="81">
        <f ca="1">+'Per Capita Plan Expenditure'!K12</f>
        <v>0.10766678762117049</v>
      </c>
      <c r="L12" s="81">
        <f ca="1">+'Per Capita Plan Expenditure'!L12</f>
        <v>0.11042959147840337</v>
      </c>
      <c r="M12" s="81">
        <f ca="1">+'Per Capita Plan Expenditure'!M12</f>
        <v>0.11327419734673051</v>
      </c>
      <c r="N12" s="81">
        <f ca="1">+'Per Capita Plan Expenditure'!N12</f>
        <v>0.11616505028092904</v>
      </c>
      <c r="O12" s="178">
        <f ca="1">+'Per Capita Plan Expenditure'!O12</f>
        <v>0.11915642054046946</v>
      </c>
      <c r="P12" s="174">
        <f ca="1">+'Per Capita Plan Expenditure'!P12</f>
        <v>0.12222482167984873</v>
      </c>
      <c r="Q12" s="146">
        <f t="shared" si="1"/>
        <v>22280.234206977428</v>
      </c>
      <c r="R12" s="146">
        <f t="shared" si="2"/>
        <v>25568.051771786231</v>
      </c>
      <c r="S12" s="146">
        <f t="shared" si="3"/>
        <v>30182.851854992579</v>
      </c>
      <c r="T12" s="146">
        <f t="shared" si="4"/>
        <v>35099.785239085242</v>
      </c>
      <c r="U12" s="146">
        <f t="shared" si="5"/>
        <v>37594.267720271106</v>
      </c>
      <c r="V12" s="146">
        <f t="shared" si="6"/>
        <v>43192.888613601877</v>
      </c>
      <c r="W12" s="146">
        <f t="shared" si="6"/>
        <v>47073.498827191099</v>
      </c>
    </row>
    <row r="13" spans="1:23" ht="19.5" customHeight="1">
      <c r="A13" s="3">
        <v>8</v>
      </c>
      <c r="B13" s="6" t="s">
        <v>19</v>
      </c>
      <c r="C13" s="132">
        <f ca="1">+'Salaries (% Total Expenditure)'!J13</f>
        <v>3483.16</v>
      </c>
      <c r="D13" s="132">
        <f ca="1">+'Salaries (% Total Expenditure)'!K13</f>
        <v>3846.57</v>
      </c>
      <c r="E13" s="132">
        <f ca="1">+'Salaries (% Total Expenditure)'!L13</f>
        <v>4520.13</v>
      </c>
      <c r="F13" s="132">
        <f ca="1">+'Salaries (% Total Expenditure)'!M13</f>
        <v>5577.66</v>
      </c>
      <c r="G13" s="132">
        <f ca="1">+'Salaries (% Total Expenditure)'!N13</f>
        <v>6477.62</v>
      </c>
      <c r="H13" s="132">
        <f ca="1">+'Salaries (% Total Expenditure)'!O13</f>
        <v>8057.2</v>
      </c>
      <c r="I13" s="132">
        <f ca="1">+'Salaries (% Total Expenditure)'!P13</f>
        <v>8071.45</v>
      </c>
      <c r="J13" s="81">
        <f ca="1">+'Per Capita Plan Expenditure'!J13</f>
        <v>0.18699624857064523</v>
      </c>
      <c r="K13" s="81">
        <f ca="1">+'Per Capita Plan Expenditure'!K13</f>
        <v>0.19010302987524846</v>
      </c>
      <c r="L13" s="81">
        <f ca="1">+'Per Capita Plan Expenditure'!L13</f>
        <v>0.19320318324676342</v>
      </c>
      <c r="M13" s="81">
        <f ca="1">+'Per Capita Plan Expenditure'!M13</f>
        <v>0.19520683673713918</v>
      </c>
      <c r="N13" s="81">
        <f ca="1">+'Per Capita Plan Expenditure'!N13</f>
        <v>0.20119488263754368</v>
      </c>
      <c r="O13" s="178">
        <f ca="1">+'Per Capita Plan Expenditure'!O13</f>
        <v>0.20759347572032161</v>
      </c>
      <c r="P13" s="174">
        <f ca="1">+'Per Capita Plan Expenditure'!P13</f>
        <v>0.21419556301181025</v>
      </c>
      <c r="Q13" s="146">
        <f t="shared" si="1"/>
        <v>18626.897740593435</v>
      </c>
      <c r="R13" s="146">
        <f t="shared" si="2"/>
        <v>20234.133051557565</v>
      </c>
      <c r="S13" s="146">
        <f t="shared" si="3"/>
        <v>23395.732534213937</v>
      </c>
      <c r="T13" s="146">
        <f t="shared" si="4"/>
        <v>28573.077117738158</v>
      </c>
      <c r="U13" s="146">
        <f t="shared" si="5"/>
        <v>32195.749290848282</v>
      </c>
      <c r="V13" s="146">
        <f t="shared" si="6"/>
        <v>38812.395100773727</v>
      </c>
      <c r="W13" s="146">
        <f t="shared" si="6"/>
        <v>37682.619968906445</v>
      </c>
    </row>
    <row r="14" spans="1:23" ht="19.5" customHeight="1">
      <c r="A14" s="3">
        <v>9</v>
      </c>
      <c r="B14" s="6" t="s">
        <v>20</v>
      </c>
      <c r="C14" s="132">
        <f ca="1">+'Salaries (% Total Expenditure)'!J14</f>
        <v>1562.34</v>
      </c>
      <c r="D14" s="132">
        <f ca="1">+'Salaries (% Total Expenditure)'!K14</f>
        <v>1992.58</v>
      </c>
      <c r="E14" s="132">
        <f ca="1">+'Salaries (% Total Expenditure)'!L14</f>
        <v>2514.5300000000002</v>
      </c>
      <c r="F14" s="132">
        <f ca="1">+'Salaries (% Total Expenditure)'!M14</f>
        <v>2468.73</v>
      </c>
      <c r="G14" s="132">
        <f ca="1">+'Salaries (% Total Expenditure)'!N14</f>
        <v>3094.54</v>
      </c>
      <c r="H14" s="132">
        <f ca="1">+'Salaries (% Total Expenditure)'!O14</f>
        <v>3354.84</v>
      </c>
      <c r="I14" s="132">
        <f ca="1">+'Salaries (% Total Expenditure)'!P14</f>
        <v>4572.7</v>
      </c>
      <c r="J14" s="81">
        <f ca="1">+'Per Capita Plan Expenditure'!J14</f>
        <v>5.8686606987809253E-2</v>
      </c>
      <c r="K14" s="81">
        <f ca="1">+'Per Capita Plan Expenditure'!K14</f>
        <v>5.9510609330691619E-2</v>
      </c>
      <c r="L14" s="81">
        <f ca="1">+'Per Capita Plan Expenditure'!L14</f>
        <v>6.0198829669929232E-2</v>
      </c>
      <c r="M14" s="81">
        <f ca="1">+'Per Capita Plan Expenditure'!M14</f>
        <v>6.0896189017696341E-2</v>
      </c>
      <c r="N14" s="81">
        <f ca="1">+'Per Capita Plan Expenditure'!N14</f>
        <v>6.1703338563007117E-2</v>
      </c>
      <c r="O14" s="178">
        <f ca="1">+'Per Capita Plan Expenditure'!O14</f>
        <v>6.2303317009554E-2</v>
      </c>
      <c r="P14" s="174">
        <f ca="1">+'Per Capita Plan Expenditure'!P14</f>
        <v>6.2909129405198355E-2</v>
      </c>
      <c r="Q14" s="146">
        <f t="shared" si="1"/>
        <v>26621.746940056339</v>
      </c>
      <c r="R14" s="146">
        <f t="shared" si="2"/>
        <v>33482.769247539189</v>
      </c>
      <c r="S14" s="146">
        <f t="shared" si="3"/>
        <v>41770.413374930919</v>
      </c>
      <c r="T14" s="146">
        <f t="shared" si="4"/>
        <v>40539.975322307786</v>
      </c>
      <c r="U14" s="146">
        <f t="shared" si="5"/>
        <v>50151.905424697128</v>
      </c>
      <c r="V14" s="146">
        <f t="shared" si="6"/>
        <v>53846.892284812813</v>
      </c>
      <c r="W14" s="146">
        <f t="shared" si="6"/>
        <v>72687.383265903933</v>
      </c>
    </row>
    <row r="15" spans="1:23" ht="19.5" customHeight="1">
      <c r="A15" s="3">
        <v>10</v>
      </c>
      <c r="B15" s="6" t="s">
        <v>21</v>
      </c>
      <c r="C15" s="132">
        <f ca="1">+'Salaries (% Total Expenditure)'!J15</f>
        <v>3717.62</v>
      </c>
      <c r="D15" s="132">
        <f ca="1">+'Salaries (% Total Expenditure)'!K15</f>
        <v>4349.92</v>
      </c>
      <c r="E15" s="132">
        <f ca="1">+'Salaries (% Total Expenditure)'!L15</f>
        <v>5563.57</v>
      </c>
      <c r="F15" s="132">
        <f ca="1">+'Salaries (% Total Expenditure)'!M15</f>
        <v>5418.75</v>
      </c>
      <c r="G15" s="132">
        <f ca="1">+'Salaries (% Total Expenditure)'!N15</f>
        <v>6220.38</v>
      </c>
      <c r="H15" s="132">
        <f ca="1">+'Salaries (% Total Expenditure)'!O15</f>
        <v>6715</v>
      </c>
      <c r="I15" s="132">
        <f ca="1">+'Salaries (% Total Expenditure)'!P15</f>
        <v>9038.66</v>
      </c>
      <c r="J15" s="81">
        <f ca="1">+'Per Capita Plan Expenditure'!J15</f>
        <v>0.34739710716694622</v>
      </c>
      <c r="K15" s="81">
        <f ca="1">+'Per Capita Plan Expenditure'!K15</f>
        <v>0.35149999999999998</v>
      </c>
      <c r="L15" s="81">
        <f ca="1">+'Per Capita Plan Expenditure'!L15</f>
        <v>0.35569146059196433</v>
      </c>
      <c r="M15" s="81">
        <f ca="1">+'Per Capita Plan Expenditure'!M15</f>
        <v>0.35989066234328076</v>
      </c>
      <c r="N15" s="81">
        <f ca="1">+'Per Capita Plan Expenditure'!N15</f>
        <v>0.364107605762227</v>
      </c>
      <c r="O15" s="81">
        <f ca="1">+'Per Capita Plan Expenditure'!O15</f>
        <v>0.36830654652793698</v>
      </c>
      <c r="P15" s="88">
        <f ca="1">+'Per Capita Plan Expenditure'!P15</f>
        <v>0.37255391007656857</v>
      </c>
      <c r="Q15" s="146">
        <f t="shared" si="1"/>
        <v>10701.355662738577</v>
      </c>
      <c r="R15" s="146">
        <f t="shared" si="2"/>
        <v>12375.305832147938</v>
      </c>
      <c r="S15" s="146">
        <f t="shared" si="3"/>
        <v>15641.561905199391</v>
      </c>
      <c r="T15" s="146">
        <f t="shared" si="4"/>
        <v>15056.656276431366</v>
      </c>
      <c r="U15" s="146">
        <f t="shared" si="5"/>
        <v>17083.905695894999</v>
      </c>
      <c r="V15" s="146">
        <f t="shared" si="6"/>
        <v>18232.095148193763</v>
      </c>
      <c r="W15" s="146">
        <f t="shared" si="6"/>
        <v>24261.347835920827</v>
      </c>
    </row>
    <row r="16" spans="1:23" ht="19.5" customHeight="1">
      <c r="A16" s="3">
        <v>11</v>
      </c>
      <c r="B16" s="6" t="s">
        <v>22</v>
      </c>
      <c r="C16" s="132">
        <f ca="1">+'Salaries (% Total Expenditure)'!J16</f>
        <v>10486.56</v>
      </c>
      <c r="D16" s="132">
        <f ca="1">+'Salaries (% Total Expenditure)'!K16</f>
        <v>11564.65</v>
      </c>
      <c r="E16" s="132">
        <f ca="1">+'Salaries (% Total Expenditure)'!L16</f>
        <v>14196.96</v>
      </c>
      <c r="F16" s="132">
        <f ca="1">+'Salaries (% Total Expenditure)'!M16</f>
        <v>14715.85</v>
      </c>
      <c r="G16" s="132">
        <f ca="1">+'Salaries (% Total Expenditure)'!N16</f>
        <v>17463.52</v>
      </c>
      <c r="H16" s="132">
        <f ca="1">+'Salaries (% Total Expenditure)'!O16</f>
        <v>19262.25</v>
      </c>
      <c r="I16" s="132">
        <f ca="1">+'Salaries (% Total Expenditure)'!P16</f>
        <v>25329.84</v>
      </c>
      <c r="J16" s="81">
        <f ca="1">+'Per Capita Plan Expenditure'!J16</f>
        <v>0.94510563135508641</v>
      </c>
      <c r="K16" s="81">
        <f ca="1">+'Per Capita Plan Expenditure'!K16</f>
        <v>0.95970217145052783</v>
      </c>
      <c r="L16" s="81">
        <f ca="1">+'Per Capita Plan Expenditure'!L16</f>
        <v>0.97419872524619677</v>
      </c>
      <c r="M16" s="81">
        <f ca="1">+'Per Capita Plan Expenditure'!M16</f>
        <v>0.98849889594819762</v>
      </c>
      <c r="N16" s="81">
        <f ca="1">+'Per Capita Plan Expenditure'!N16</f>
        <v>1.0027028941032057</v>
      </c>
      <c r="O16" s="81">
        <f ca="1">+'Per Capita Plan Expenditure'!O16</f>
        <v>1.0167028955787056</v>
      </c>
      <c r="P16" s="88">
        <f ca="1">+'Per Capita Plan Expenditure'!P16</f>
        <v>1.0305973600882343</v>
      </c>
      <c r="Q16" s="146">
        <f t="shared" si="1"/>
        <v>11095.64862603182</v>
      </c>
      <c r="R16" s="146">
        <f t="shared" si="2"/>
        <v>12050.248862645354</v>
      </c>
      <c r="S16" s="146">
        <f t="shared" si="3"/>
        <v>14572.960969962451</v>
      </c>
      <c r="T16" s="146">
        <f t="shared" si="4"/>
        <v>14887.067714814308</v>
      </c>
      <c r="U16" s="146">
        <f t="shared" si="5"/>
        <v>17416.445192989064</v>
      </c>
      <c r="V16" s="146">
        <f t="shared" si="6"/>
        <v>18945.800276329457</v>
      </c>
      <c r="W16" s="146">
        <f t="shared" si="6"/>
        <v>24577.823484654949</v>
      </c>
    </row>
    <row r="17" spans="1:23" s="75" customFormat="1" ht="19.5" customHeight="1">
      <c r="A17" s="72"/>
      <c r="B17" s="4" t="s">
        <v>23</v>
      </c>
      <c r="C17" s="126">
        <f t="shared" ref="C17:O17" si="7">SUM(C6:C16)</f>
        <v>71055.39</v>
      </c>
      <c r="D17" s="126">
        <f t="shared" si="7"/>
        <v>81543.42</v>
      </c>
      <c r="E17" s="126">
        <f t="shared" si="7"/>
        <v>98695.63</v>
      </c>
      <c r="F17" s="126">
        <f t="shared" si="7"/>
        <v>118008.84999999999</v>
      </c>
      <c r="G17" s="126">
        <f t="shared" si="7"/>
        <v>131164.81999999998</v>
      </c>
      <c r="H17" s="126">
        <f t="shared" si="7"/>
        <v>143980.35</v>
      </c>
      <c r="I17" s="126">
        <f ca="1">SUM(I6:I16)</f>
        <v>176988.08000000002</v>
      </c>
      <c r="J17" s="82">
        <f t="shared" si="7"/>
        <v>6.9889361100452803</v>
      </c>
      <c r="K17" s="82">
        <f t="shared" si="7"/>
        <v>7.0857364124359776</v>
      </c>
      <c r="L17" s="87">
        <f t="shared" si="7"/>
        <v>7.182007753803493</v>
      </c>
      <c r="M17" s="87">
        <f t="shared" si="7"/>
        <v>7.2768279168079326</v>
      </c>
      <c r="N17" s="87">
        <f t="shared" si="7"/>
        <v>7.3822143219488803</v>
      </c>
      <c r="O17" s="87">
        <f t="shared" si="7"/>
        <v>7.4811339306593041</v>
      </c>
      <c r="P17" s="87">
        <f ca="1">SUM(P6:P16)</f>
        <v>7.5800299505581084</v>
      </c>
      <c r="Q17" s="147">
        <f t="shared" si="1"/>
        <v>10166.83925581624</v>
      </c>
      <c r="R17" s="147">
        <f t="shared" si="2"/>
        <v>11508.108014981397</v>
      </c>
      <c r="S17" s="147">
        <f>+E17/L17</f>
        <v>13742.06675671328</v>
      </c>
      <c r="T17" s="147">
        <f>+F17/M17</f>
        <v>16217.07306385857</v>
      </c>
      <c r="U17" s="147">
        <f>+G17/N17</f>
        <v>17767.679761073759</v>
      </c>
      <c r="V17" s="147">
        <f>+H17/O17</f>
        <v>19245.79232700773</v>
      </c>
      <c r="W17" s="147">
        <f>+I17/P17</f>
        <v>23349.258664468547</v>
      </c>
    </row>
    <row r="18" spans="1:23" ht="19.5" customHeight="1">
      <c r="A18" s="3"/>
      <c r="B18" s="4" t="s">
        <v>189</v>
      </c>
      <c r="C18" s="147"/>
      <c r="D18" s="147"/>
      <c r="E18" s="125"/>
      <c r="F18" s="125"/>
      <c r="G18" s="125"/>
      <c r="H18" s="125"/>
      <c r="I18" s="125"/>
      <c r="J18" s="82"/>
      <c r="K18" s="82"/>
      <c r="L18" s="87"/>
      <c r="M18" s="87"/>
      <c r="N18" s="87"/>
      <c r="O18" s="87"/>
      <c r="P18" s="87"/>
      <c r="Q18" s="146"/>
      <c r="R18" s="146"/>
      <c r="S18" s="146"/>
      <c r="T18" s="146"/>
      <c r="U18" s="146"/>
      <c r="V18" s="146"/>
      <c r="W18" s="146"/>
    </row>
    <row r="19" spans="1:23" ht="19.5" customHeight="1">
      <c r="A19" s="3">
        <v>12</v>
      </c>
      <c r="B19" s="6" t="s">
        <v>25</v>
      </c>
      <c r="C19" s="132">
        <f ca="1">+'Salaries (% Total Expenditure)'!J19</f>
        <v>69678.210000000006</v>
      </c>
      <c r="D19" s="132">
        <f ca="1">+'Salaries (% Total Expenditure)'!K19</f>
        <v>75634.05</v>
      </c>
      <c r="E19" s="132">
        <f ca="1">+'Salaries (% Total Expenditure)'!L19</f>
        <v>78830.81</v>
      </c>
      <c r="F19" s="132">
        <f ca="1">+'Salaries (% Total Expenditure)'!M19</f>
        <v>92972.36</v>
      </c>
      <c r="G19" s="132">
        <f ca="1">+'Salaries (% Total Expenditure)'!N19</f>
        <v>109120.55</v>
      </c>
      <c r="H19" s="132">
        <f ca="1">+'Salaries (% Total Expenditure)'!O19</f>
        <v>121764.09</v>
      </c>
      <c r="I19" s="132">
        <f ca="1">+'Salaries (% Total Expenditure)'!P19</f>
        <v>152722</v>
      </c>
      <c r="J19" s="81">
        <f ca="1">+'Per Capita Plan Expenditure'!J19</f>
        <v>8.2049105722030351</v>
      </c>
      <c r="K19" s="81">
        <f ca="1">+'Per Capita Plan Expenditure'!K19</f>
        <v>8.2858010788663012</v>
      </c>
      <c r="L19" s="81">
        <f ca="1">+'Per Capita Plan Expenditure'!L19</f>
        <v>8.3648937394377469</v>
      </c>
      <c r="M19" s="81">
        <f ca="1">+'Per Capita Plan Expenditure'!M19</f>
        <v>8.442601287239448</v>
      </c>
      <c r="N19" s="81">
        <f ca="1">+'Per Capita Plan Expenditure'!N19</f>
        <v>8.5187932608680885</v>
      </c>
      <c r="O19" s="178">
        <f ca="1">+'Per Capita Plan Expenditure'!O19</f>
        <v>8.5934986068512735</v>
      </c>
      <c r="P19" s="174">
        <f ca="1">+'Per Capita Plan Expenditure'!P19</f>
        <v>8.6663001545567955</v>
      </c>
      <c r="Q19" s="146">
        <f t="shared" ref="Q19:W19" si="8">+C19/J19</f>
        <v>8492.2570924854408</v>
      </c>
      <c r="R19" s="146">
        <f t="shared" si="8"/>
        <v>9128.1517960781857</v>
      </c>
      <c r="S19" s="146">
        <f t="shared" si="8"/>
        <v>9424.0061446732343</v>
      </c>
      <c r="T19" s="146">
        <f t="shared" si="8"/>
        <v>11012.288373788642</v>
      </c>
      <c r="U19" s="146">
        <f t="shared" si="8"/>
        <v>12809.390562540817</v>
      </c>
      <c r="V19" s="146">
        <f t="shared" si="8"/>
        <v>14169.326786522321</v>
      </c>
      <c r="W19" s="146">
        <f t="shared" si="8"/>
        <v>17622.514484419029</v>
      </c>
    </row>
    <row r="20" spans="1:23" ht="19.5" customHeight="1">
      <c r="A20" s="3">
        <v>13</v>
      </c>
      <c r="B20" s="6" t="s">
        <v>26</v>
      </c>
      <c r="C20" s="132">
        <f ca="1">+'Salaries (% Total Expenditure)'!J20</f>
        <v>29939.34</v>
      </c>
      <c r="D20" s="132">
        <f ca="1">+'Salaries (% Total Expenditure)'!K20</f>
        <v>35498.980000000003</v>
      </c>
      <c r="E20" s="132">
        <f ca="1">+'Salaries (% Total Expenditure)'!L20</f>
        <v>40813.040000000001</v>
      </c>
      <c r="F20" s="132">
        <f ca="1">+'Salaries (% Total Expenditure)'!M20</f>
        <v>48514.49</v>
      </c>
      <c r="G20" s="132">
        <f ca="1">+'Salaries (% Total Expenditure)'!N20</f>
        <v>57257.57</v>
      </c>
      <c r="H20" s="132">
        <f ca="1">+'Salaries (% Total Expenditure)'!O20</f>
        <v>66136.62</v>
      </c>
      <c r="I20" s="132">
        <f ca="1">+'Salaries (% Total Expenditure)'!P20</f>
        <v>88849.2</v>
      </c>
      <c r="J20" s="81">
        <f ca="1">+'Per Capita Plan Expenditure'!J20</f>
        <v>9.3071215274635772</v>
      </c>
      <c r="K20" s="81">
        <f ca="1">+'Per Capita Plan Expenditure'!K20</f>
        <v>9.447115384615385</v>
      </c>
      <c r="L20" s="81">
        <f ca="1">+'Per Capita Plan Expenditure'!L20</f>
        <v>9.5847835931940217</v>
      </c>
      <c r="M20" s="81">
        <f ca="1">+'Per Capita Plan Expenditure'!M20</f>
        <v>9.7190285088862254</v>
      </c>
      <c r="N20" s="81">
        <f ca="1">+'Per Capita Plan Expenditure'!N20</f>
        <v>9.8504778946449623</v>
      </c>
      <c r="O20" s="178">
        <f ca="1">+'Per Capita Plan Expenditure'!O20</f>
        <v>9.9787655522346554</v>
      </c>
      <c r="P20" s="174">
        <f ca="1">+'Per Capita Plan Expenditure'!P20</f>
        <v>10.103589467706746</v>
      </c>
      <c r="Q20" s="146">
        <f t="shared" ref="Q20:Q36" si="9">+C20/J20</f>
        <v>3216.8205724675026</v>
      </c>
      <c r="R20" s="146">
        <f t="shared" ref="R20:R36" si="10">+D20/K20</f>
        <v>3757.6528447837154</v>
      </c>
      <c r="S20" s="146">
        <f t="shared" ref="S20:S35" si="11">+E20/L20</f>
        <v>4258.1076143420278</v>
      </c>
      <c r="T20" s="146">
        <f t="shared" ref="T20:T35" si="12">+F20/M20</f>
        <v>4991.7015837172012</v>
      </c>
      <c r="U20" s="146">
        <f t="shared" ref="U20:U35" si="13">+G20/N20</f>
        <v>5812.6692544660254</v>
      </c>
      <c r="V20" s="146">
        <f t="shared" ref="V20:W35" si="14">+H20/O20</f>
        <v>6627.7356306050588</v>
      </c>
      <c r="W20" s="146">
        <f t="shared" si="14"/>
        <v>8793.8252325058565</v>
      </c>
    </row>
    <row r="21" spans="1:23" ht="19.5" customHeight="1">
      <c r="A21" s="3">
        <v>14</v>
      </c>
      <c r="B21" s="6" t="s">
        <v>27</v>
      </c>
      <c r="C21" s="132">
        <f ca="1">+'Salaries (% Total Expenditure)'!J21</f>
        <v>13970.54</v>
      </c>
      <c r="D21" s="132">
        <f ca="1">+'Salaries (% Total Expenditure)'!K21</f>
        <v>17226.07</v>
      </c>
      <c r="E21" s="132">
        <f ca="1">+'Salaries (% Total Expenditure)'!L21</f>
        <v>20910.439999999999</v>
      </c>
      <c r="F21" s="132">
        <f ca="1">+'Salaries (% Total Expenditure)'!M21</f>
        <v>22876.15</v>
      </c>
      <c r="G21" s="132">
        <f ca="1">+'Salaries (% Total Expenditure)'!N21</f>
        <v>27957.99</v>
      </c>
      <c r="H21" s="132">
        <f ca="1">+'Salaries (% Total Expenditure)'!O21</f>
        <v>33779.160000000003</v>
      </c>
      <c r="I21" s="132">
        <f ca="1">+'Salaries (% Total Expenditure)'!P21</f>
        <v>44169</v>
      </c>
      <c r="J21" s="81">
        <f ca="1">+'Per Capita Plan Expenditure'!J21</f>
        <v>2.3600051645376707</v>
      </c>
      <c r="K21" s="81">
        <f ca="1">+'Per Capita Plan Expenditure'!K21</f>
        <v>2.4100081489002609</v>
      </c>
      <c r="L21" s="81">
        <f ca="1">+'Per Capita Plan Expenditure'!L21</f>
        <v>2.4500040731360064</v>
      </c>
      <c r="M21" s="81">
        <f ca="1">+'Per Capita Plan Expenditure'!M21</f>
        <v>2.5000080165835423</v>
      </c>
      <c r="N21" s="81">
        <f ca="1">+'Per Capita Plan Expenditure'!N21</f>
        <v>2.5499995506094</v>
      </c>
      <c r="O21" s="178">
        <f ca="1">+'Per Capita Plan Expenditure'!O21</f>
        <v>2.5999966463365363</v>
      </c>
      <c r="P21" s="174">
        <f ca="1">+'Per Capita Plan Expenditure'!P21</f>
        <v>2.6499933321582394</v>
      </c>
      <c r="Q21" s="146">
        <f t="shared" si="9"/>
        <v>5919.7073845119548</v>
      </c>
      <c r="R21" s="146">
        <f t="shared" si="10"/>
        <v>7147.7227194690731</v>
      </c>
      <c r="S21" s="146">
        <f t="shared" si="11"/>
        <v>8534.8592801458599</v>
      </c>
      <c r="T21" s="146">
        <f t="shared" si="12"/>
        <v>9150.4306579232743</v>
      </c>
      <c r="U21" s="146">
        <f t="shared" si="13"/>
        <v>10963.919579248</v>
      </c>
      <c r="V21" s="146">
        <f t="shared" si="14"/>
        <v>12992.001373384743</v>
      </c>
      <c r="W21" s="146">
        <f t="shared" si="14"/>
        <v>16667.589108244039</v>
      </c>
    </row>
    <row r="22" spans="1:23" s="20" customFormat="1" ht="19.5" customHeight="1">
      <c r="A22" s="3">
        <v>15</v>
      </c>
      <c r="B22" s="6" t="s">
        <v>28</v>
      </c>
      <c r="C22" s="132">
        <f ca="1">+'Salaries (% Total Expenditure)'!J22</f>
        <v>2826.47</v>
      </c>
      <c r="D22" s="132">
        <f ca="1">+'Salaries (% Total Expenditure)'!K22</f>
        <v>3647.92</v>
      </c>
      <c r="E22" s="132">
        <f ca="1">+'Salaries (% Total Expenditure)'!L22</f>
        <v>4556.07</v>
      </c>
      <c r="F22" s="132">
        <f ca="1">+'Salaries (% Total Expenditure)'!M22</f>
        <v>6230</v>
      </c>
      <c r="G22" s="132">
        <f ca="1">+'Salaries (% Total Expenditure)'!N22</f>
        <v>6953.57</v>
      </c>
      <c r="H22" s="132">
        <f ca="1">+'Salaries (% Total Expenditure)'!O22</f>
        <v>8988.74</v>
      </c>
      <c r="I22" s="132">
        <f ca="1">+'Salaries (% Total Expenditure)'!P22</f>
        <v>9886.49</v>
      </c>
      <c r="J22" s="81">
        <f ca="1">+'Per Capita Plan Expenditure'!J22</f>
        <v>0.15679555866746628</v>
      </c>
      <c r="K22" s="81">
        <f ca="1">+'Per Capita Plan Expenditure'!K22</f>
        <v>0.162901478389751</v>
      </c>
      <c r="L22" s="81">
        <f ca="1">+'Per Capita Plan Expenditure'!L22</f>
        <v>0.16910248918796544</v>
      </c>
      <c r="M22" s="81">
        <f ca="1">+'Per Capita Plan Expenditure'!M22</f>
        <v>0.1748975140492266</v>
      </c>
      <c r="N22" s="81">
        <f ca="1">+'Per Capita Plan Expenditure'!N22</f>
        <v>0.17990183284384029</v>
      </c>
      <c r="O22" s="178">
        <f ca="1">+'Per Capita Plan Expenditure'!O22</f>
        <v>0.18469699885904853</v>
      </c>
      <c r="P22" s="174">
        <f ca="1">+'Per Capita Plan Expenditure'!P22</f>
        <v>0.18961997689679111</v>
      </c>
      <c r="Q22" s="146">
        <f t="shared" si="9"/>
        <v>18026.467229179674</v>
      </c>
      <c r="R22" s="146">
        <f t="shared" si="10"/>
        <v>22393.412485012232</v>
      </c>
      <c r="S22" s="146">
        <f t="shared" si="11"/>
        <v>26942.654847237118</v>
      </c>
      <c r="T22" s="146">
        <f t="shared" si="12"/>
        <v>35620.860787343758</v>
      </c>
      <c r="U22" s="146">
        <f t="shared" si="13"/>
        <v>38652.024218318489</v>
      </c>
      <c r="V22" s="146">
        <f t="shared" si="14"/>
        <v>48667.493546333986</v>
      </c>
      <c r="W22" s="146">
        <f t="shared" si="14"/>
        <v>52138.441116787762</v>
      </c>
    </row>
    <row r="23" spans="1:23" ht="19.5" customHeight="1">
      <c r="A23" s="3">
        <v>16</v>
      </c>
      <c r="B23" s="6" t="s">
        <v>29</v>
      </c>
      <c r="C23" s="132">
        <f ca="1">+'Salaries (% Total Expenditure)'!J23</f>
        <v>39734.589999999997</v>
      </c>
      <c r="D23" s="132">
        <f ca="1">+'Salaries (% Total Expenditure)'!K23</f>
        <v>48031.34</v>
      </c>
      <c r="E23" s="132">
        <f ca="1">+'Salaries (% Total Expenditure)'!L23</f>
        <v>55750.46</v>
      </c>
      <c r="F23" s="132">
        <f ca="1">+'Salaries (% Total Expenditure)'!M23</f>
        <v>66568.31</v>
      </c>
      <c r="G23" s="132">
        <f ca="1">+'Salaries (% Total Expenditure)'!N23</f>
        <v>74161.5</v>
      </c>
      <c r="H23" s="132">
        <f ca="1">+'Salaries (% Total Expenditure)'!O23</f>
        <v>92143.14</v>
      </c>
      <c r="I23" s="132">
        <f ca="1">+'Salaries (% Total Expenditure)'!P23</f>
        <v>104077.51</v>
      </c>
      <c r="J23" s="81">
        <f ca="1">+'Per Capita Plan Expenditure'!J23</f>
        <v>5.6298000000000004</v>
      </c>
      <c r="K23" s="81">
        <f ca="1">+'Per Capita Plan Expenditure'!K23</f>
        <v>5.7108999999999996</v>
      </c>
      <c r="L23" s="81">
        <f ca="1">+'Per Capita Plan Expenditure'!L23</f>
        <v>5.7909999999999995</v>
      </c>
      <c r="M23" s="81">
        <f ca="1">+'Per Capita Plan Expenditure'!M23</f>
        <v>5.8702021944076384</v>
      </c>
      <c r="N23" s="81">
        <f ca="1">+'Per Capita Plan Expenditure'!N23</f>
        <v>5.948499647126325</v>
      </c>
      <c r="O23" s="178">
        <f ca="1">+'Per Capita Plan Expenditure'!O23</f>
        <v>6.0259024144959765</v>
      </c>
      <c r="P23" s="174">
        <f ca="1">+'Per Capita Plan Expenditure'!P23</f>
        <v>6.1043123582549512</v>
      </c>
      <c r="Q23" s="146">
        <f t="shared" si="9"/>
        <v>7057.9043660520792</v>
      </c>
      <c r="R23" s="146">
        <f t="shared" si="10"/>
        <v>8410.467702113503</v>
      </c>
      <c r="S23" s="146">
        <f t="shared" si="11"/>
        <v>9627.0868589190122</v>
      </c>
      <c r="T23" s="146">
        <f t="shared" si="12"/>
        <v>11340.036986020275</v>
      </c>
      <c r="U23" s="146">
        <f t="shared" si="13"/>
        <v>12467.261393522458</v>
      </c>
      <c r="V23" s="146">
        <f t="shared" si="14"/>
        <v>15291.176932825772</v>
      </c>
      <c r="W23" s="146">
        <f t="shared" si="14"/>
        <v>17049.833608081088</v>
      </c>
    </row>
    <row r="24" spans="1:23" ht="19.5" customHeight="1">
      <c r="A24" s="3">
        <v>17</v>
      </c>
      <c r="B24" s="6" t="s">
        <v>30</v>
      </c>
      <c r="C24" s="132">
        <f ca="1">+'Salaries (% Total Expenditure)'!J24</f>
        <v>21240</v>
      </c>
      <c r="D24" s="132">
        <f ca="1">+'Salaries (% Total Expenditure)'!K24</f>
        <v>25369</v>
      </c>
      <c r="E24" s="132">
        <f ca="1">+'Salaries (% Total Expenditure)'!L24</f>
        <v>31305</v>
      </c>
      <c r="F24" s="132">
        <f ca="1">+'Salaries (% Total Expenditure)'!M24</f>
        <v>33063</v>
      </c>
      <c r="G24" s="132">
        <f ca="1">+'Salaries (% Total Expenditure)'!N24</f>
        <v>38014</v>
      </c>
      <c r="H24" s="132">
        <f ca="1">+'Salaries (% Total Expenditure)'!O24</f>
        <v>44185</v>
      </c>
      <c r="I24" s="132">
        <f ca="1">+'Salaries (% Total Expenditure)'!P24</f>
        <v>53073</v>
      </c>
      <c r="J24" s="81">
        <f ca="1">+'Per Capita Plan Expenditure'!J24</f>
        <v>2.3997014055534507</v>
      </c>
      <c r="K24" s="81">
        <f ca="1">+'Per Capita Plan Expenditure'!K24</f>
        <v>2.4424955492804443</v>
      </c>
      <c r="L24" s="81">
        <f ca="1">+'Per Capita Plan Expenditure'!L24</f>
        <v>2.484900975164102</v>
      </c>
      <c r="M24" s="81">
        <f ca="1">+'Per Capita Plan Expenditure'!M24</f>
        <v>2.5269968034683274</v>
      </c>
      <c r="N24" s="81">
        <f ca="1">+'Per Capita Plan Expenditure'!N24</f>
        <v>2.5685961700388047</v>
      </c>
      <c r="O24" s="178">
        <f ca="1">+'Per Capita Plan Expenditure'!O24</f>
        <v>2.6099005816267726</v>
      </c>
      <c r="P24" s="174">
        <f ca="1">+'Per Capita Plan Expenditure'!P24</f>
        <v>2.6510010369823895</v>
      </c>
      <c r="Q24" s="146">
        <f t="shared" si="9"/>
        <v>8851.1012040272362</v>
      </c>
      <c r="R24" s="146">
        <f t="shared" si="10"/>
        <v>10386.508179093171</v>
      </c>
      <c r="S24" s="146">
        <f t="shared" si="11"/>
        <v>12598.087534628066</v>
      </c>
      <c r="T24" s="146">
        <f t="shared" si="12"/>
        <v>13083.910495898022</v>
      </c>
      <c r="U24" s="146">
        <f t="shared" si="13"/>
        <v>14799.523741182604</v>
      </c>
      <c r="V24" s="146">
        <f t="shared" si="14"/>
        <v>16929.763651172922</v>
      </c>
      <c r="W24" s="146">
        <f t="shared" si="14"/>
        <v>20019.984624529803</v>
      </c>
    </row>
    <row r="25" spans="1:23" ht="19.5" customHeight="1">
      <c r="A25" s="3">
        <v>18</v>
      </c>
      <c r="B25" s="6" t="s">
        <v>31</v>
      </c>
      <c r="C25" s="132">
        <f ca="1">+'Salaries (% Total Expenditure)'!J25</f>
        <v>14013.18</v>
      </c>
      <c r="D25" s="132">
        <f ca="1">+'Salaries (% Total Expenditure)'!K25</f>
        <v>16346.36</v>
      </c>
      <c r="E25" s="132">
        <f ca="1">+'Salaries (% Total Expenditure)'!L25</f>
        <v>18151.259999999998</v>
      </c>
      <c r="F25" s="132">
        <f ca="1">+'Salaries (% Total Expenditure)'!M25</f>
        <v>20916.599999999999</v>
      </c>
      <c r="G25" s="132">
        <f ca="1">+'Salaries (% Total Expenditure)'!N25</f>
        <v>24443.45</v>
      </c>
      <c r="H25" s="132">
        <f ca="1">+'Salaries (% Total Expenditure)'!O25</f>
        <v>28319.1</v>
      </c>
      <c r="I25" s="132">
        <f ca="1">+'Salaries (% Total Expenditure)'!P25</f>
        <v>37739.879999999997</v>
      </c>
      <c r="J25" s="81">
        <f ca="1">+'Per Capita Plan Expenditure'!J25</f>
        <v>3.0008471499455402</v>
      </c>
      <c r="K25" s="81">
        <f ca="1">+'Per Capita Plan Expenditure'!K25</f>
        <v>3.0437594825521042</v>
      </c>
      <c r="L25" s="81">
        <f ca="1">+'Per Capita Plan Expenditure'!L25</f>
        <v>3.0865606065974558</v>
      </c>
      <c r="M25" s="81">
        <f ca="1">+'Per Capita Plan Expenditure'!M25</f>
        <v>3.1292877509288326</v>
      </c>
      <c r="N25" s="81">
        <f ca="1">+'Per Capita Plan Expenditure'!N25</f>
        <v>3.1727296181630549</v>
      </c>
      <c r="O25" s="178">
        <f ca="1">+'Per Capita Plan Expenditure'!O25</f>
        <v>3.2158928368713817</v>
      </c>
      <c r="P25" s="174">
        <f ca="1">+'Per Capita Plan Expenditure'!P25</f>
        <v>3.2587730673316706</v>
      </c>
      <c r="Q25" s="146">
        <f t="shared" si="9"/>
        <v>4669.7413429585422</v>
      </c>
      <c r="R25" s="146">
        <f t="shared" si="10"/>
        <v>5370.4506199333628</v>
      </c>
      <c r="S25" s="146">
        <f t="shared" si="11"/>
        <v>5880.7398633942512</v>
      </c>
      <c r="T25" s="146">
        <f t="shared" si="12"/>
        <v>6684.140822074145</v>
      </c>
      <c r="U25" s="146">
        <f t="shared" si="13"/>
        <v>7704.2335596665989</v>
      </c>
      <c r="V25" s="146">
        <f t="shared" si="14"/>
        <v>8805.98373033803</v>
      </c>
      <c r="W25" s="146">
        <f t="shared" si="14"/>
        <v>11581.008931960379</v>
      </c>
    </row>
    <row r="26" spans="1:23" ht="19.5" customHeight="1">
      <c r="A26" s="3">
        <v>19</v>
      </c>
      <c r="B26" s="6" t="s">
        <v>32</v>
      </c>
      <c r="C26" s="132">
        <f ca="1">+'Salaries (% Total Expenditure)'!J26</f>
        <v>46780</v>
      </c>
      <c r="D26" s="132">
        <f ca="1">+'Salaries (% Total Expenditure)'!K26</f>
        <v>52261</v>
      </c>
      <c r="E26" s="132">
        <f ca="1">+'Salaries (% Total Expenditure)'!L26</f>
        <v>60655</v>
      </c>
      <c r="F26" s="132">
        <f ca="1">+'Salaries (% Total Expenditure)'!M26</f>
        <v>69127</v>
      </c>
      <c r="G26" s="132">
        <f ca="1">+'Salaries (% Total Expenditure)'!N26</f>
        <v>82436</v>
      </c>
      <c r="H26" s="132">
        <f ca="1">+'Salaries (% Total Expenditure)'!O26</f>
        <v>92874</v>
      </c>
      <c r="I26" s="132">
        <f ca="1">+'Salaries (% Total Expenditure)'!P26</f>
        <v>115770</v>
      </c>
      <c r="J26" s="81">
        <f ca="1">+'Per Capita Plan Expenditure'!J26</f>
        <v>5.7291905302781014</v>
      </c>
      <c r="K26" s="81">
        <f ca="1">+'Per Capita Plan Expenditure'!K26</f>
        <v>5.7926970774320905</v>
      </c>
      <c r="L26" s="81">
        <f ca="1">+'Per Capita Plan Expenditure'!L26</f>
        <v>5.8551917871433741</v>
      </c>
      <c r="M26" s="81">
        <f ca="1">+'Per Capita Plan Expenditure'!M26</f>
        <v>5.916993574387031</v>
      </c>
      <c r="N26" s="81">
        <f ca="1">+'Per Capita Plan Expenditure'!N26</f>
        <v>5.9780004397086586</v>
      </c>
      <c r="O26" s="178">
        <f ca="1">+'Per Capita Plan Expenditure'!O26</f>
        <v>6.0381984477971473</v>
      </c>
      <c r="P26" s="174">
        <f ca="1">+'Per Capita Plan Expenditure'!P26</f>
        <v>6.0975055307113211</v>
      </c>
      <c r="Q26" s="146">
        <f t="shared" si="9"/>
        <v>8165.2023532422554</v>
      </c>
      <c r="R26" s="146">
        <f t="shared" si="10"/>
        <v>9021.8769083584393</v>
      </c>
      <c r="S26" s="146">
        <f t="shared" si="11"/>
        <v>10359.182449528662</v>
      </c>
      <c r="T26" s="146">
        <f t="shared" si="12"/>
        <v>11682.791122037206</v>
      </c>
      <c r="U26" s="146">
        <f t="shared" si="13"/>
        <v>13789.895272074882</v>
      </c>
      <c r="V26" s="146">
        <f t="shared" si="14"/>
        <v>15381.077783868175</v>
      </c>
      <c r="W26" s="146">
        <f t="shared" si="14"/>
        <v>18986.452643117904</v>
      </c>
    </row>
    <row r="27" spans="1:23" ht="19.5" customHeight="1">
      <c r="A27" s="3">
        <v>20</v>
      </c>
      <c r="B27" s="6" t="s">
        <v>33</v>
      </c>
      <c r="C27" s="132">
        <f ca="1">+'Salaries (% Total Expenditure)'!J27</f>
        <v>27259.37</v>
      </c>
      <c r="D27" s="132">
        <f ca="1">+'Salaries (% Total Expenditure)'!K27</f>
        <v>30903.15</v>
      </c>
      <c r="E27" s="132">
        <f ca="1">+'Salaries (% Total Expenditure)'!L27</f>
        <v>34068.44</v>
      </c>
      <c r="F27" s="132">
        <f ca="1">+'Salaries (% Total Expenditure)'!M27</f>
        <v>38790.239999999998</v>
      </c>
      <c r="G27" s="132">
        <f ca="1">+'Salaries (% Total Expenditure)'!N27</f>
        <v>50896.07</v>
      </c>
      <c r="H27" s="132">
        <f ca="1">+'Salaries (% Total Expenditure)'!O27</f>
        <v>58976.21</v>
      </c>
      <c r="I27" s="132">
        <f ca="1">+'Salaries (% Total Expenditure)'!P27</f>
        <v>61175</v>
      </c>
      <c r="J27" s="81">
        <f ca="1">+'Per Capita Plan Expenditure'!J27</f>
        <v>3.3693873085339168</v>
      </c>
      <c r="K27" s="81">
        <f ca="1">+'Per Capita Plan Expenditure'!K27</f>
        <v>3.395807412434491</v>
      </c>
      <c r="L27" s="81">
        <f ca="1">+'Per Capita Plan Expenditure'!L27</f>
        <v>3.4216119284030153</v>
      </c>
      <c r="M27" s="81">
        <f ca="1">+'Per Capita Plan Expenditure'!M27</f>
        <v>3.4467125879500977</v>
      </c>
      <c r="N27" s="81">
        <f ca="1">+'Per Capita Plan Expenditure'!N27</f>
        <v>3.4707923507724496</v>
      </c>
      <c r="O27" s="178">
        <f ca="1">+'Per Capita Plan Expenditure'!O27</f>
        <v>3.4942108057428807</v>
      </c>
      <c r="P27" s="174">
        <f ca="1">+'Per Capita Plan Expenditure'!P27</f>
        <v>3.517787271904353</v>
      </c>
      <c r="Q27" s="146">
        <f t="shared" si="9"/>
        <v>8090.3047064248185</v>
      </c>
      <c r="R27" s="146">
        <f t="shared" si="10"/>
        <v>9100.3835750052731</v>
      </c>
      <c r="S27" s="146">
        <f t="shared" si="11"/>
        <v>9956.83926549231</v>
      </c>
      <c r="T27" s="146">
        <f t="shared" si="12"/>
        <v>11254.27171839418</v>
      </c>
      <c r="U27" s="146">
        <f t="shared" si="13"/>
        <v>14664.106882877253</v>
      </c>
      <c r="V27" s="146">
        <f t="shared" si="14"/>
        <v>16878.263298559476</v>
      </c>
      <c r="W27" s="146">
        <f t="shared" si="14"/>
        <v>17390.193116163882</v>
      </c>
    </row>
    <row r="28" spans="1:23" ht="19.5" customHeight="1">
      <c r="A28" s="3">
        <v>21</v>
      </c>
      <c r="B28" s="6" t="s">
        <v>34</v>
      </c>
      <c r="C28" s="132">
        <f ca="1">+'Salaries (% Total Expenditure)'!J28</f>
        <v>33590.75</v>
      </c>
      <c r="D28" s="132">
        <f ca="1">+'Salaries (% Total Expenditure)'!K28</f>
        <v>38089.22</v>
      </c>
      <c r="E28" s="132">
        <f ca="1">+'Salaries (% Total Expenditure)'!L28</f>
        <v>47641.440000000002</v>
      </c>
      <c r="F28" s="132">
        <f ca="1">+'Salaries (% Total Expenditure)'!M28</f>
        <v>57528.05</v>
      </c>
      <c r="G28" s="132">
        <f ca="1">+'Salaries (% Total Expenditure)'!N28</f>
        <v>77613.119999999995</v>
      </c>
      <c r="H28" s="132">
        <f ca="1">+'Salaries (% Total Expenditure)'!O28</f>
        <v>79920.69</v>
      </c>
      <c r="I28" s="132">
        <f ca="1">+'Salaries (% Total Expenditure)'!P28</f>
        <v>91948.86</v>
      </c>
      <c r="J28" s="81">
        <f ca="1">+'Per Capita Plan Expenditure'!J28</f>
        <v>6.8266128968945763</v>
      </c>
      <c r="K28" s="81">
        <f ca="1">+'Per Capita Plan Expenditure'!K28</f>
        <v>6.9428011867833348</v>
      </c>
      <c r="L28" s="81">
        <f ca="1">+'Per Capita Plan Expenditure'!L28</f>
        <v>7.0582157062532715</v>
      </c>
      <c r="M28" s="81">
        <f ca="1">+'Per Capita Plan Expenditure'!M28</f>
        <v>7.1731963023808341</v>
      </c>
      <c r="N28" s="81">
        <f ca="1">+'Per Capita Plan Expenditure'!N28</f>
        <v>7.2879092155693517</v>
      </c>
      <c r="O28" s="178">
        <f ca="1">+'Per Capita Plan Expenditure'!O28</f>
        <v>7.4019975549691264</v>
      </c>
      <c r="P28" s="174">
        <f ca="1">+'Per Capita Plan Expenditure'!P28</f>
        <v>7.5153033314565754</v>
      </c>
      <c r="Q28" s="146">
        <f t="shared" si="9"/>
        <v>4920.558775975187</v>
      </c>
      <c r="R28" s="146">
        <f t="shared" si="10"/>
        <v>5486.1458617752951</v>
      </c>
      <c r="S28" s="146">
        <f t="shared" si="11"/>
        <v>6749.7852124003184</v>
      </c>
      <c r="T28" s="146">
        <f t="shared" si="12"/>
        <v>8019.8627745494769</v>
      </c>
      <c r="U28" s="146">
        <f t="shared" si="13"/>
        <v>10649.572834166629</v>
      </c>
      <c r="V28" s="146">
        <f t="shared" si="14"/>
        <v>10797.178654341416</v>
      </c>
      <c r="W28" s="146">
        <f t="shared" si="14"/>
        <v>12234.883403193118</v>
      </c>
    </row>
    <row r="29" spans="1:23" ht="19.5" customHeight="1">
      <c r="A29" s="3">
        <v>22</v>
      </c>
      <c r="B29" s="6" t="s">
        <v>35</v>
      </c>
      <c r="C29" s="132">
        <f ca="1">+'Salaries (% Total Expenditure)'!J29</f>
        <v>77494.820000000007</v>
      </c>
      <c r="D29" s="132">
        <f ca="1">+'Salaries (% Total Expenditure)'!K29</f>
        <v>95847.679999999993</v>
      </c>
      <c r="E29" s="132">
        <f ca="1">+'Salaries (% Total Expenditure)'!L29</f>
        <v>113605.54</v>
      </c>
      <c r="F29" s="132">
        <f ca="1">+'Salaries (% Total Expenditure)'!M29</f>
        <v>125381.42</v>
      </c>
      <c r="G29" s="132">
        <f ca="1">+'Salaries (% Total Expenditure)'!N29</f>
        <v>142270.01999999999</v>
      </c>
      <c r="H29" s="132">
        <f ca="1">+'Salaries (% Total Expenditure)'!O29</f>
        <v>160512.14000000001</v>
      </c>
      <c r="I29" s="132">
        <f ca="1">+'Salaries (% Total Expenditure)'!P29</f>
        <v>179925.79</v>
      </c>
      <c r="J29" s="81">
        <f ca="1">+'Per Capita Plan Expenditure'!J29</f>
        <v>10.732108427199309</v>
      </c>
      <c r="K29" s="81">
        <f ca="1">+'Per Capita Plan Expenditure'!K29</f>
        <v>10.890798129321896</v>
      </c>
      <c r="L29" s="81">
        <f ca="1">+'Per Capita Plan Expenditure'!L29</f>
        <v>11.048501961686675</v>
      </c>
      <c r="M29" s="81">
        <f ca="1">+'Per Capita Plan Expenditure'!M29</f>
        <v>11.204198889427518</v>
      </c>
      <c r="N29" s="81">
        <f ca="1">+'Per Capita Plan Expenditure'!N29</f>
        <v>11.35689657622429</v>
      </c>
      <c r="O29" s="178">
        <f ca="1">+'Per Capita Plan Expenditure'!O29</f>
        <v>11.508302108591584</v>
      </c>
      <c r="P29" s="174">
        <f ca="1">+'Per Capita Plan Expenditure'!P29</f>
        <v>11.661726118020598</v>
      </c>
      <c r="Q29" s="146">
        <f t="shared" si="9"/>
        <v>7220.838339985291</v>
      </c>
      <c r="R29" s="146">
        <f t="shared" si="10"/>
        <v>8800.7948418347787</v>
      </c>
      <c r="S29" s="146">
        <f t="shared" si="11"/>
        <v>10282.438324575982</v>
      </c>
      <c r="T29" s="146">
        <f t="shared" si="12"/>
        <v>11190.574287137311</v>
      </c>
      <c r="U29" s="146">
        <f t="shared" si="13"/>
        <v>12527.191653558144</v>
      </c>
      <c r="V29" s="146">
        <f t="shared" si="14"/>
        <v>13947.50837138424</v>
      </c>
      <c r="W29" s="146">
        <f t="shared" si="14"/>
        <v>15428.744268137529</v>
      </c>
    </row>
    <row r="30" spans="1:23" ht="19.5" customHeight="1">
      <c r="A30" s="3">
        <v>23</v>
      </c>
      <c r="B30" s="6" t="s">
        <v>74</v>
      </c>
      <c r="C30" s="132">
        <f ca="1">+'Salaries (% Total Expenditure)'!J30</f>
        <v>20999.360000000001</v>
      </c>
      <c r="D30" s="132">
        <f ca="1">+'Salaries (% Total Expenditure)'!K30</f>
        <v>24838.42</v>
      </c>
      <c r="E30" s="132">
        <f ca="1">+'Salaries (% Total Expenditure)'!L30</f>
        <v>29042.63</v>
      </c>
      <c r="F30" s="132">
        <f ca="1">+'Salaries (% Total Expenditure)'!M30</f>
        <v>33967.74</v>
      </c>
      <c r="G30" s="132">
        <f ca="1">+'Salaries (% Total Expenditure)'!N30</f>
        <v>39777.339999999997</v>
      </c>
      <c r="H30" s="132">
        <f ca="1">+'Salaries (% Total Expenditure)'!O30</f>
        <v>44075.76</v>
      </c>
      <c r="I30" s="132">
        <f ca="1">+'Salaries (% Total Expenditure)'!P30</f>
        <v>57484.4</v>
      </c>
      <c r="J30" s="81">
        <f ca="1">+'Per Capita Plan Expenditure'!J30</f>
        <v>4.0060909452076574</v>
      </c>
      <c r="K30" s="81">
        <f ca="1">+'Per Capita Plan Expenditure'!K30</f>
        <v>4.0589937491258592</v>
      </c>
      <c r="L30" s="81">
        <f ca="1">+'Per Capita Plan Expenditure'!L30</f>
        <v>4.1127064807914966</v>
      </c>
      <c r="M30" s="81">
        <f ca="1">+'Per Capita Plan Expenditure'!M30</f>
        <v>4.1671904808928506</v>
      </c>
      <c r="N30" s="81">
        <f ca="1">+'Per Capita Plan Expenditure'!N30</f>
        <v>4.2225047452348843</v>
      </c>
      <c r="O30" s="178">
        <f ca="1">+'Per Capita Plan Expenditure'!O30</f>
        <v>4.2786072829813833</v>
      </c>
      <c r="P30" s="174">
        <f ca="1">+'Per Capita Plan Expenditure'!P30</f>
        <v>4.3356013032884713</v>
      </c>
      <c r="Q30" s="146">
        <f t="shared" si="9"/>
        <v>5241.8580324844552</v>
      </c>
      <c r="R30" s="146">
        <f t="shared" si="10"/>
        <v>6119.354090000551</v>
      </c>
      <c r="S30" s="146">
        <f t="shared" si="11"/>
        <v>7061.6831363104484</v>
      </c>
      <c r="T30" s="146">
        <f t="shared" si="12"/>
        <v>8151.2328643835272</v>
      </c>
      <c r="U30" s="146">
        <f t="shared" si="13"/>
        <v>9420.3186023387898</v>
      </c>
      <c r="V30" s="146">
        <f t="shared" si="14"/>
        <v>10301.42686273546</v>
      </c>
      <c r="W30" s="146">
        <f t="shared" si="14"/>
        <v>13258.691466025526</v>
      </c>
    </row>
    <row r="31" spans="1:23" s="20" customFormat="1" ht="19.5" customHeight="1">
      <c r="A31" s="3">
        <v>24</v>
      </c>
      <c r="B31" s="6" t="s">
        <v>36</v>
      </c>
      <c r="C31" s="132">
        <f ca="1">+'Salaries (% Total Expenditure)'!J31</f>
        <v>25287.31</v>
      </c>
      <c r="D31" s="132">
        <f ca="1">+'Salaries (% Total Expenditure)'!K31</f>
        <v>27481.99</v>
      </c>
      <c r="E31" s="132">
        <f ca="1">+'Salaries (% Total Expenditure)'!L31</f>
        <v>29603.19</v>
      </c>
      <c r="F31" s="132">
        <f ca="1">+'Salaries (% Total Expenditure)'!M31</f>
        <v>35349.67</v>
      </c>
      <c r="G31" s="132">
        <f ca="1">+'Salaries (% Total Expenditure)'!N31</f>
        <v>34820.050000000003</v>
      </c>
      <c r="H31" s="132">
        <f ca="1">+'Salaries (% Total Expenditure)'!O31</f>
        <v>41571.279999999999</v>
      </c>
      <c r="I31" s="132">
        <f ca="1">+'Salaries (% Total Expenditure)'!P31</f>
        <v>52063.75</v>
      </c>
      <c r="J31" s="81">
        <f ca="1">+'Per Capita Plan Expenditure'!J31</f>
        <v>2.7481976508707979</v>
      </c>
      <c r="K31" s="81">
        <f ca="1">+'Per Capita Plan Expenditure'!K31</f>
        <v>2.7990056946578687</v>
      </c>
      <c r="L31" s="81">
        <f ca="1">+'Per Capita Plan Expenditure'!L31</f>
        <v>2.8506916916107112</v>
      </c>
      <c r="M31" s="81">
        <f ca="1">+'Per Capita Plan Expenditure'!M31</f>
        <v>2.9034089275962174</v>
      </c>
      <c r="N31" s="81">
        <f ca="1">+'Per Capita Plan Expenditure'!N31</f>
        <v>2.9570854803507549</v>
      </c>
      <c r="O31" s="178">
        <f ca="1">+'Per Capita Plan Expenditure'!O31</f>
        <v>2.9796181450769983</v>
      </c>
      <c r="P31" s="174">
        <f ca="1">+'Per Capita Plan Expenditure'!P31</f>
        <v>3.0346866669487582</v>
      </c>
      <c r="Q31" s="146">
        <f t="shared" si="9"/>
        <v>9201.4160597173304</v>
      </c>
      <c r="R31" s="146">
        <f t="shared" si="10"/>
        <v>9818.4830607710537</v>
      </c>
      <c r="S31" s="146">
        <f t="shared" si="11"/>
        <v>10384.563889219975</v>
      </c>
      <c r="T31" s="146">
        <f t="shared" si="12"/>
        <v>12175.229491102586</v>
      </c>
      <c r="U31" s="146">
        <f t="shared" si="13"/>
        <v>11775.124605417162</v>
      </c>
      <c r="V31" s="146">
        <f t="shared" si="14"/>
        <v>13951.881743197577</v>
      </c>
      <c r="W31" s="146">
        <f t="shared" si="14"/>
        <v>17156.21931154684</v>
      </c>
    </row>
    <row r="32" spans="1:23" ht="19.5" customHeight="1">
      <c r="A32" s="3">
        <v>25</v>
      </c>
      <c r="B32" s="6" t="s">
        <v>37</v>
      </c>
      <c r="C32" s="132">
        <f ca="1">+'Salaries (% Total Expenditure)'!J32</f>
        <v>35970.89</v>
      </c>
      <c r="D32" s="132">
        <f ca="1">+'Salaries (% Total Expenditure)'!K32</f>
        <v>40535.61</v>
      </c>
      <c r="E32" s="132">
        <f ca="1">+'Salaries (% Total Expenditure)'!L32</f>
        <v>45804.74</v>
      </c>
      <c r="F32" s="132">
        <f ca="1">+'Salaries (% Total Expenditure)'!M32</f>
        <v>50386.080000000002</v>
      </c>
      <c r="G32" s="132">
        <f ca="1">+'Salaries (% Total Expenditure)'!N32</f>
        <v>61881.66</v>
      </c>
      <c r="H32" s="132">
        <f ca="1">+'Salaries (% Total Expenditure)'!O32</f>
        <v>76557.2</v>
      </c>
      <c r="I32" s="132">
        <f ca="1">+'Salaries (% Total Expenditure)'!P32</f>
        <v>90439.65</v>
      </c>
      <c r="J32" s="81">
        <f ca="1">+'Per Capita Plan Expenditure'!J32</f>
        <v>6.4077130200264554</v>
      </c>
      <c r="K32" s="81">
        <f ca="1">+'Per Capita Plan Expenditure'!K32</f>
        <v>6.5200128898541463</v>
      </c>
      <c r="L32" s="81">
        <f ca="1">+'Per Capita Plan Expenditure'!L32</f>
        <v>6.6310102684541343</v>
      </c>
      <c r="M32" s="81">
        <f ca="1">+'Per Capita Plan Expenditure'!M32</f>
        <v>6.7401098646571338</v>
      </c>
      <c r="N32" s="81">
        <f ca="1">+'Per Capita Plan Expenditure'!N32</f>
        <v>6.8468084212054663</v>
      </c>
      <c r="O32" s="178">
        <f ca="1">+'Per Capita Plan Expenditure'!O32</f>
        <v>6.9519011597612277</v>
      </c>
      <c r="P32" s="174">
        <f ca="1">+'Per Capita Plan Expenditure'!P32</f>
        <v>7.055898520704841</v>
      </c>
      <c r="Q32" s="146">
        <f t="shared" si="9"/>
        <v>5613.6861759535368</v>
      </c>
      <c r="R32" s="146">
        <f t="shared" si="10"/>
        <v>6217.105807118548</v>
      </c>
      <c r="S32" s="146">
        <f t="shared" si="11"/>
        <v>6907.6563216781606</v>
      </c>
      <c r="T32" s="146">
        <f t="shared" si="12"/>
        <v>7475.5576706854044</v>
      </c>
      <c r="U32" s="146">
        <f t="shared" si="13"/>
        <v>9038.0300123988218</v>
      </c>
      <c r="V32" s="146">
        <f t="shared" si="14"/>
        <v>11012.412035304233</v>
      </c>
      <c r="W32" s="146">
        <f t="shared" si="14"/>
        <v>12817.595056761904</v>
      </c>
    </row>
    <row r="33" spans="1:23" ht="19.5" customHeight="1">
      <c r="A33" s="3">
        <v>26</v>
      </c>
      <c r="B33" s="6" t="s">
        <v>38</v>
      </c>
      <c r="C33" s="132">
        <f ca="1">+'Salaries (% Total Expenditure)'!J33</f>
        <v>52218.8</v>
      </c>
      <c r="D33" s="132">
        <f ca="1">+'Salaries (% Total Expenditure)'!K33</f>
        <v>65524.5</v>
      </c>
      <c r="E33" s="132">
        <f ca="1">+'Salaries (% Total Expenditure)'!L33</f>
        <v>70238.490000000005</v>
      </c>
      <c r="F33" s="132">
        <f ca="1">+'Salaries (% Total Expenditure)'!M33</f>
        <v>87604.49</v>
      </c>
      <c r="G33" s="132">
        <f ca="1">+'Salaries (% Total Expenditure)'!N33</f>
        <v>105656.84</v>
      </c>
      <c r="H33" s="132">
        <f ca="1">+'Salaries (% Total Expenditure)'!O33</f>
        <v>120574.03</v>
      </c>
      <c r="I33" s="132">
        <f ca="1">+'Salaries (% Total Expenditure)'!P33</f>
        <v>131412.04</v>
      </c>
      <c r="J33" s="81">
        <f ca="1">+'Per Capita Plan Expenditure'!J33</f>
        <v>6.5918957988249023</v>
      </c>
      <c r="K33" s="81">
        <f ca="1">+'Per Capita Plan Expenditure'!K33</f>
        <v>6.6386001847180429</v>
      </c>
      <c r="L33" s="81">
        <f ca="1">+'Per Capita Plan Expenditure'!L33</f>
        <v>6.6836068388328007</v>
      </c>
      <c r="M33" s="81">
        <f ca="1">+'Per Capita Plan Expenditure'!M33</f>
        <v>6.7272975787886233</v>
      </c>
      <c r="N33" s="81">
        <f ca="1">+'Per Capita Plan Expenditure'!N33</f>
        <v>6.7698051233022598</v>
      </c>
      <c r="O33" s="178">
        <f ca="1">+'Per Capita Plan Expenditure'!O33</f>
        <v>6.810704266335974</v>
      </c>
      <c r="P33" s="174">
        <f ca="1">+'Per Capita Plan Expenditure'!P33</f>
        <v>6.8500770045668604</v>
      </c>
      <c r="Q33" s="146">
        <f t="shared" si="9"/>
        <v>7921.6664816377615</v>
      </c>
      <c r="R33" s="146">
        <f t="shared" si="10"/>
        <v>9870.2283880322248</v>
      </c>
      <c r="S33" s="146">
        <f t="shared" si="11"/>
        <v>10509.069682540779</v>
      </c>
      <c r="T33" s="146">
        <f t="shared" si="12"/>
        <v>13022.240948017472</v>
      </c>
      <c r="U33" s="146">
        <f t="shared" si="13"/>
        <v>15607.072593023386</v>
      </c>
      <c r="V33" s="146">
        <f t="shared" si="14"/>
        <v>17703.606746805126</v>
      </c>
      <c r="W33" s="146">
        <f t="shared" si="14"/>
        <v>19184.02375803794</v>
      </c>
    </row>
    <row r="34" spans="1:23" ht="19.5" customHeight="1">
      <c r="A34" s="3">
        <v>27</v>
      </c>
      <c r="B34" s="6" t="s">
        <v>39</v>
      </c>
      <c r="C34" s="132">
        <f ca="1">+'Salaries (% Total Expenditure)'!J34</f>
        <v>82915.55</v>
      </c>
      <c r="D34" s="132">
        <f ca="1">+'Salaries (% Total Expenditure)'!K34</f>
        <v>99121.62</v>
      </c>
      <c r="E34" s="132">
        <f ca="1">+'Salaries (% Total Expenditure)'!L34</f>
        <v>115406.69</v>
      </c>
      <c r="F34" s="132">
        <f ca="1">+'Salaries (% Total Expenditure)'!M34</f>
        <v>128916.63</v>
      </c>
      <c r="G34" s="132">
        <f ca="1">+'Salaries (% Total Expenditure)'!N34</f>
        <v>146434.70000000001</v>
      </c>
      <c r="H34" s="132">
        <f ca="1">+'Salaries (% Total Expenditure)'!O34</f>
        <v>178456.56</v>
      </c>
      <c r="I34" s="132">
        <f ca="1">+'Salaries (% Total Expenditure)'!P34</f>
        <v>221201.19</v>
      </c>
      <c r="J34" s="81">
        <f ca="1">+'Per Capita Plan Expenditure'!J34</f>
        <v>18.881224177143011</v>
      </c>
      <c r="K34" s="81">
        <f ca="1">+'Per Capita Plan Expenditure'!K34</f>
        <v>19.232480903204277</v>
      </c>
      <c r="L34" s="81">
        <f ca="1">+'Per Capita Plan Expenditure'!L34</f>
        <v>19.584080567283397</v>
      </c>
      <c r="M34" s="81">
        <f ca="1">+'Per Capita Plan Expenditure'!M34</f>
        <v>19.934689884595507</v>
      </c>
      <c r="N34" s="81">
        <f ca="1">+'Per Capita Plan Expenditure'!N34</f>
        <v>20.282994292485906</v>
      </c>
      <c r="O34" s="178">
        <f ca="1">+'Per Capita Plan Expenditure'!O34</f>
        <v>20.631198792881232</v>
      </c>
      <c r="P34" s="174">
        <f ca="1">+'Per Capita Plan Expenditure'!P34</f>
        <v>20.980204789873504</v>
      </c>
      <c r="Q34" s="146">
        <f t="shared" si="9"/>
        <v>4391.4287136304883</v>
      </c>
      <c r="R34" s="146">
        <f t="shared" si="10"/>
        <v>5153.8655100645692</v>
      </c>
      <c r="S34" s="146">
        <f t="shared" si="11"/>
        <v>5892.8827219387113</v>
      </c>
      <c r="T34" s="146">
        <f t="shared" si="12"/>
        <v>6466.9493604523077</v>
      </c>
      <c r="U34" s="146">
        <f t="shared" si="13"/>
        <v>7219.5800032467896</v>
      </c>
      <c r="V34" s="146">
        <f t="shared" si="14"/>
        <v>8649.8395847737265</v>
      </c>
      <c r="W34" s="146">
        <f t="shared" si="14"/>
        <v>10543.328447716915</v>
      </c>
    </row>
    <row r="35" spans="1:23" ht="19.5" customHeight="1">
      <c r="A35" s="3">
        <v>28</v>
      </c>
      <c r="B35" s="6" t="s">
        <v>40</v>
      </c>
      <c r="C35" s="132">
        <f ca="1">+'Salaries (% Total Expenditure)'!J35</f>
        <v>42064.28</v>
      </c>
      <c r="D35" s="132">
        <f ca="1">+'Salaries (% Total Expenditure)'!K35</f>
        <v>56078.26</v>
      </c>
      <c r="E35" s="132">
        <f ca="1">+'Salaries (% Total Expenditure)'!L35</f>
        <v>62263.38</v>
      </c>
      <c r="F35" s="132">
        <f ca="1">+'Salaries (% Total Expenditure)'!M35</f>
        <v>67171.649999999994</v>
      </c>
      <c r="G35" s="132">
        <f ca="1">+'Salaries (% Total Expenditure)'!N35</f>
        <v>76538.080000000002</v>
      </c>
      <c r="H35" s="132">
        <f ca="1">+'Salaries (% Total Expenditure)'!O35</f>
        <v>87722.21</v>
      </c>
      <c r="I35" s="132">
        <f ca="1">+'Salaries (% Total Expenditure)'!P35</f>
        <v>101978.82</v>
      </c>
      <c r="J35" s="81">
        <f ca="1">+'Per Capita Plan Expenditure'!J35</f>
        <v>8.6659169385750943</v>
      </c>
      <c r="K35" s="81">
        <f ca="1">+'Per Capita Plan Expenditure'!K35</f>
        <v>8.7505283624989438</v>
      </c>
      <c r="L35" s="81">
        <f ca="1">+'Per Capita Plan Expenditure'!L35</f>
        <v>8.8334754745485995</v>
      </c>
      <c r="M35" s="81">
        <f ca="1">+'Per Capita Plan Expenditure'!M35</f>
        <v>8.9158852788654883</v>
      </c>
      <c r="N35" s="81">
        <f ca="1">+'Per Capita Plan Expenditure'!N35</f>
        <v>8.9987206199510172</v>
      </c>
      <c r="O35" s="178">
        <f ca="1">+'Per Capita Plan Expenditure'!O35</f>
        <v>9.0801964517109539</v>
      </c>
      <c r="P35" s="174">
        <f ca="1">+'Per Capita Plan Expenditure'!P35</f>
        <v>9.1594420448913123</v>
      </c>
      <c r="Q35" s="146">
        <f t="shared" si="9"/>
        <v>4853.9906738266609</v>
      </c>
      <c r="R35" s="146">
        <f t="shared" si="10"/>
        <v>6408.5570238624287</v>
      </c>
      <c r="S35" s="146">
        <f t="shared" si="11"/>
        <v>7048.5711065136256</v>
      </c>
      <c r="T35" s="146">
        <f t="shared" si="12"/>
        <v>7533.9293742625778</v>
      </c>
      <c r="U35" s="146">
        <f t="shared" si="13"/>
        <v>8505.4401878315693</v>
      </c>
      <c r="V35" s="146">
        <f t="shared" si="14"/>
        <v>9660.8273253240877</v>
      </c>
      <c r="W35" s="146">
        <f t="shared" si="14"/>
        <v>11133.737131606045</v>
      </c>
    </row>
    <row r="36" spans="1:23" s="75" customFormat="1" ht="19.5" customHeight="1">
      <c r="A36" s="72"/>
      <c r="B36" s="4" t="s">
        <v>190</v>
      </c>
      <c r="C36" s="126">
        <f t="shared" ref="C36:O36" si="15">SUM(C19:C35)</f>
        <v>635983.46000000008</v>
      </c>
      <c r="D36" s="126">
        <f t="shared" si="15"/>
        <v>752435.17</v>
      </c>
      <c r="E36" s="126">
        <f t="shared" si="15"/>
        <v>858646.62</v>
      </c>
      <c r="F36" s="126">
        <f t="shared" si="15"/>
        <v>985363.88</v>
      </c>
      <c r="G36" s="126">
        <f t="shared" si="15"/>
        <v>1156232.5100000002</v>
      </c>
      <c r="H36" s="126">
        <f t="shared" si="15"/>
        <v>1336555.93</v>
      </c>
      <c r="I36" s="126">
        <f ca="1">SUM(I19:I35)</f>
        <v>1593916.58</v>
      </c>
      <c r="J36" s="82">
        <f t="shared" si="15"/>
        <v>105.01751907192455</v>
      </c>
      <c r="K36" s="82">
        <f t="shared" si="15"/>
        <v>106.52470671263519</v>
      </c>
      <c r="L36" s="87">
        <f t="shared" si="15"/>
        <v>108.01033818172476</v>
      </c>
      <c r="M36" s="87">
        <f t="shared" si="15"/>
        <v>109.49270544510455</v>
      </c>
      <c r="N36" s="87">
        <f t="shared" si="15"/>
        <v>110.96051523909952</v>
      </c>
      <c r="O36" s="175">
        <f t="shared" si="15"/>
        <v>112.38358865312418</v>
      </c>
      <c r="P36" s="175">
        <f ca="1">SUM(P19:P35)</f>
        <v>113.83182197625416</v>
      </c>
      <c r="Q36" s="147">
        <f t="shared" si="9"/>
        <v>6055.974904191241</v>
      </c>
      <c r="R36" s="147">
        <f t="shared" si="10"/>
        <v>7063.4803250836039</v>
      </c>
      <c r="S36" s="147">
        <f>+E36/L36</f>
        <v>7949.6706931455765</v>
      </c>
      <c r="T36" s="147">
        <f>+F36/M36</f>
        <v>8999.3564045599705</v>
      </c>
      <c r="U36" s="147">
        <f>+G36/N36</f>
        <v>10420.215763314831</v>
      </c>
      <c r="V36" s="147">
        <f>+H36/O36</f>
        <v>11892.803442372053</v>
      </c>
      <c r="W36" s="147">
        <f>+I36/P36</f>
        <v>14002.381340540243</v>
      </c>
    </row>
    <row r="37" spans="1:23" ht="19.5" customHeight="1">
      <c r="A37" s="3"/>
      <c r="B37" s="4" t="s">
        <v>42</v>
      </c>
      <c r="C37" s="147"/>
      <c r="D37" s="147"/>
      <c r="E37" s="125"/>
      <c r="F37" s="125"/>
      <c r="G37" s="125"/>
      <c r="H37" s="125"/>
      <c r="I37" s="125"/>
      <c r="J37" s="82"/>
      <c r="K37" s="82"/>
      <c r="L37" s="87"/>
      <c r="M37" s="87"/>
      <c r="N37" s="87"/>
      <c r="O37" s="175"/>
      <c r="P37" s="175"/>
      <c r="Q37" s="146"/>
      <c r="R37" s="146"/>
      <c r="S37" s="146"/>
      <c r="T37" s="146"/>
      <c r="U37" s="146"/>
      <c r="V37" s="146"/>
      <c r="W37" s="146"/>
    </row>
    <row r="38" spans="1:23" ht="19.5" customHeight="1">
      <c r="A38" s="3">
        <v>29</v>
      </c>
      <c r="B38" s="6" t="s">
        <v>43</v>
      </c>
      <c r="C38" s="132">
        <f ca="1">+'Salaries (% Total Expenditure)'!J38</f>
        <v>18159.63</v>
      </c>
      <c r="D38" s="132">
        <f ca="1">+'Salaries (% Total Expenditure)'!K38</f>
        <v>20361.310000000001</v>
      </c>
      <c r="E38" s="132">
        <f ca="1">+'Salaries (% Total Expenditure)'!L38</f>
        <v>24925.919999999998</v>
      </c>
      <c r="F38" s="132">
        <f ca="1">+'Salaries (% Total Expenditure)'!M38</f>
        <v>25524.32</v>
      </c>
      <c r="G38" s="132">
        <f ca="1">+'Salaries (% Total Expenditure)'!N38</f>
        <v>26402.42</v>
      </c>
      <c r="H38" s="132">
        <f ca="1">+'Salaries (% Total Expenditure)'!O38</f>
        <v>29858.81</v>
      </c>
      <c r="I38" s="132">
        <f ca="1">+'Salaries (% Total Expenditure)'!P38</f>
        <v>37450</v>
      </c>
      <c r="J38" s="81">
        <f ca="1">+'Per Capita Plan Expenditure'!J38</f>
        <v>1.5699016180006511</v>
      </c>
      <c r="K38" s="81">
        <f ca="1">+'Per Capita Plan Expenditure'!K38</f>
        <v>1.6001109560113103</v>
      </c>
      <c r="L38" s="81">
        <f ca="1">+'Per Capita Plan Expenditure'!L38</f>
        <v>1.6307965950959218</v>
      </c>
      <c r="M38" s="81">
        <f ca="1">+'Per Capita Plan Expenditure'!M38</f>
        <v>1.6622039702609404</v>
      </c>
      <c r="N38" s="81">
        <f ca="1">+'Per Capita Plan Expenditure'!N38</f>
        <v>1.6941030542356021</v>
      </c>
      <c r="O38" s="178">
        <f ca="1">+'Per Capita Plan Expenditure'!O38</f>
        <v>1.7266014840046318</v>
      </c>
      <c r="P38" s="174">
        <f ca="1">+'Per Capita Plan Expenditure'!P38</f>
        <v>1.7596997895253639</v>
      </c>
      <c r="Q38" s="146">
        <f t="shared" ref="Q38:W38" si="16">+C38/J38</f>
        <v>11567.368166119355</v>
      </c>
      <c r="R38" s="146">
        <f t="shared" si="16"/>
        <v>12724.936307389473</v>
      </c>
      <c r="S38" s="146">
        <f t="shared" si="16"/>
        <v>15284.50578996572</v>
      </c>
      <c r="T38" s="146">
        <f t="shared" si="16"/>
        <v>15355.708719666382</v>
      </c>
      <c r="U38" s="146">
        <f t="shared" si="16"/>
        <v>15584.896051033365</v>
      </c>
      <c r="V38" s="146">
        <f t="shared" si="16"/>
        <v>17293.399940063937</v>
      </c>
      <c r="W38" s="146">
        <f t="shared" si="16"/>
        <v>21282.039256310432</v>
      </c>
    </row>
    <row r="39" spans="1:23" ht="19.5" customHeight="1">
      <c r="A39" s="3">
        <v>30</v>
      </c>
      <c r="B39" s="6" t="s">
        <v>44</v>
      </c>
      <c r="C39" s="132">
        <f ca="1">+'Salaries (% Total Expenditure)'!J39</f>
        <v>2476</v>
      </c>
      <c r="D39" s="132">
        <f ca="1">+'Salaries (% Total Expenditure)'!K39</f>
        <v>2834</v>
      </c>
      <c r="E39" s="132">
        <f ca="1">+'Salaries (% Total Expenditure)'!L39</f>
        <v>3454</v>
      </c>
      <c r="F39" s="132">
        <f ca="1">+'Salaries (% Total Expenditure)'!M39</f>
        <v>3913</v>
      </c>
      <c r="G39" s="132">
        <f ca="1">+'Salaries (% Total Expenditure)'!N39</f>
        <v>3599</v>
      </c>
      <c r="H39" s="132">
        <f ca="1">+'Salaries (% Total Expenditure)'!O39</f>
        <v>3356.34</v>
      </c>
      <c r="I39" s="132">
        <f ca="1">+'Salaries (% Total Expenditure)'!P39</f>
        <v>3995.07</v>
      </c>
      <c r="J39" s="81">
        <f ca="1">+'Per Capita Plan Expenditure'!J39</f>
        <v>0.11022762496462311</v>
      </c>
      <c r="K39" s="81">
        <f ca="1">+'Per Capita Plan Expenditure'!K39</f>
        <v>0.11232441429400046</v>
      </c>
      <c r="L39" s="81">
        <f ca="1">+'Per Capita Plan Expenditure'!L39</f>
        <v>0.1144435267396242</v>
      </c>
      <c r="M39" s="81">
        <f ca="1">+'Per Capita Plan Expenditure'!M39</f>
        <v>0.11660994142789299</v>
      </c>
      <c r="N39" s="81">
        <f ca="1">+'Per Capita Plan Expenditure'!N39</f>
        <v>0.12635581007281554</v>
      </c>
      <c r="O39" s="178">
        <f ca="1">+'Per Capita Plan Expenditure'!O39</f>
        <v>0.1295269620232524</v>
      </c>
      <c r="P39" s="174">
        <f ca="1">+'Per Capita Plan Expenditure'!P39</f>
        <v>0.13277007035308042</v>
      </c>
      <c r="Q39" s="146">
        <f t="shared" ref="Q39:S40" si="17">+C39/J39</f>
        <v>22462.608631862087</v>
      </c>
      <c r="R39" s="146">
        <f t="shared" si="17"/>
        <v>25230.489896722047</v>
      </c>
      <c r="S39" s="146">
        <f t="shared" si="17"/>
        <v>30180.82453766351</v>
      </c>
      <c r="T39" s="146">
        <f t="shared" ref="T39:W40" si="18">+F39/M39</f>
        <v>33556.315628712029</v>
      </c>
      <c r="U39" s="146">
        <f t="shared" si="18"/>
        <v>28483.059053050198</v>
      </c>
      <c r="V39" s="146">
        <f t="shared" si="18"/>
        <v>25912.288434569145</v>
      </c>
      <c r="W39" s="146">
        <f t="shared" si="18"/>
        <v>30090.139964344082</v>
      </c>
    </row>
    <row r="40" spans="1:23" s="75" customFormat="1" ht="19.5" customHeight="1">
      <c r="A40" s="72"/>
      <c r="B40" s="4" t="s">
        <v>79</v>
      </c>
      <c r="C40" s="126">
        <f t="shared" ref="C40:O40" si="19">SUM(C38:C39)</f>
        <v>20635.63</v>
      </c>
      <c r="D40" s="126">
        <f t="shared" si="19"/>
        <v>23195.31</v>
      </c>
      <c r="E40" s="126">
        <f t="shared" si="19"/>
        <v>28379.919999999998</v>
      </c>
      <c r="F40" s="126">
        <f t="shared" si="19"/>
        <v>29437.32</v>
      </c>
      <c r="G40" s="126">
        <f>SUM(G38:G39)</f>
        <v>30001.42</v>
      </c>
      <c r="H40" s="126">
        <f t="shared" si="19"/>
        <v>33215.15</v>
      </c>
      <c r="I40" s="126">
        <f>SUM(I38:I39)</f>
        <v>41445.07</v>
      </c>
      <c r="J40" s="82">
        <f t="shared" si="19"/>
        <v>1.6801292429652741</v>
      </c>
      <c r="K40" s="82">
        <f t="shared" si="19"/>
        <v>1.7124353703053108</v>
      </c>
      <c r="L40" s="87">
        <f t="shared" si="19"/>
        <v>1.745240121835546</v>
      </c>
      <c r="M40" s="87">
        <f t="shared" si="19"/>
        <v>1.7788139116888333</v>
      </c>
      <c r="N40" s="87">
        <f>SUM(N38:N39)</f>
        <v>1.8204588643084176</v>
      </c>
      <c r="O40" s="175">
        <f t="shared" si="19"/>
        <v>1.8561284460278842</v>
      </c>
      <c r="P40" s="175">
        <f>SUM(P38:P39)</f>
        <v>1.8924698598784442</v>
      </c>
      <c r="Q40" s="147">
        <f t="shared" si="17"/>
        <v>12282.168223904016</v>
      </c>
      <c r="R40" s="147">
        <f t="shared" si="17"/>
        <v>13545.217765424046</v>
      </c>
      <c r="S40" s="147">
        <f t="shared" si="17"/>
        <v>16261.326819688047</v>
      </c>
      <c r="T40" s="147">
        <f t="shared" si="18"/>
        <v>16548.847412628875</v>
      </c>
      <c r="U40" s="147">
        <f t="shared" si="18"/>
        <v>16480.141676476371</v>
      </c>
      <c r="V40" s="147">
        <f t="shared" si="18"/>
        <v>17894.855321613351</v>
      </c>
      <c r="W40" s="147">
        <f t="shared" si="18"/>
        <v>21899.989468081712</v>
      </c>
    </row>
    <row r="41" spans="1:23" s="75" customFormat="1">
      <c r="A41" s="72"/>
      <c r="B41" s="4"/>
      <c r="C41" s="126"/>
      <c r="D41" s="126"/>
      <c r="E41" s="126"/>
      <c r="F41" s="126"/>
      <c r="G41" s="126"/>
      <c r="H41" s="126"/>
      <c r="I41" s="126"/>
      <c r="J41" s="82"/>
      <c r="K41" s="82"/>
      <c r="L41" s="87"/>
      <c r="M41" s="87"/>
      <c r="N41" s="87"/>
      <c r="O41" s="87"/>
      <c r="P41" s="87"/>
      <c r="Q41" s="146"/>
      <c r="R41" s="146"/>
      <c r="S41" s="146"/>
      <c r="T41" s="146"/>
      <c r="U41" s="146"/>
      <c r="V41" s="146"/>
      <c r="W41" s="146"/>
    </row>
    <row r="42" spans="1:23" s="75" customFormat="1">
      <c r="A42" s="72"/>
      <c r="B42" s="4" t="s">
        <v>46</v>
      </c>
      <c r="C42" s="126">
        <f t="shared" ref="C42:O42" si="20">+C17+C36+C40</f>
        <v>727674.4800000001</v>
      </c>
      <c r="D42" s="126">
        <f t="shared" si="20"/>
        <v>857173.90000000014</v>
      </c>
      <c r="E42" s="126">
        <f t="shared" si="20"/>
        <v>985722.17</v>
      </c>
      <c r="F42" s="126">
        <f t="shared" si="20"/>
        <v>1132810.05</v>
      </c>
      <c r="G42" s="126">
        <f>+G17+G36+G40</f>
        <v>1317398.7500000002</v>
      </c>
      <c r="H42" s="126">
        <f t="shared" si="20"/>
        <v>1513751.43</v>
      </c>
      <c r="I42" s="126">
        <f>+I17+I36+I40</f>
        <v>1812349.7300000002</v>
      </c>
      <c r="J42" s="82">
        <f t="shared" si="20"/>
        <v>113.68658442493512</v>
      </c>
      <c r="K42" s="82">
        <f t="shared" si="20"/>
        <v>115.32287849537649</v>
      </c>
      <c r="L42" s="87">
        <f t="shared" si="20"/>
        <v>116.9375860573638</v>
      </c>
      <c r="M42" s="87">
        <f t="shared" si="20"/>
        <v>118.54834727360131</v>
      </c>
      <c r="N42" s="87">
        <f>+N17+N36+N40</f>
        <v>120.16318842535682</v>
      </c>
      <c r="O42" s="87">
        <f t="shared" si="20"/>
        <v>121.72085102981136</v>
      </c>
      <c r="P42" s="87">
        <f>+P17+P36+P40</f>
        <v>123.30432178669072</v>
      </c>
      <c r="Q42" s="147">
        <f t="shared" ref="Q42:W42" si="21">+C42/J42</f>
        <v>6400.7066768767991</v>
      </c>
      <c r="R42" s="147">
        <f t="shared" si="21"/>
        <v>7432.8174182225766</v>
      </c>
      <c r="S42" s="147">
        <f t="shared" si="21"/>
        <v>8429.472535173194</v>
      </c>
      <c r="T42" s="147">
        <f t="shared" si="21"/>
        <v>9555.6798222210018</v>
      </c>
      <c r="U42" s="147">
        <f t="shared" si="21"/>
        <v>10963.413731471883</v>
      </c>
      <c r="V42" s="147">
        <f t="shared" si="21"/>
        <v>12436.254078023643</v>
      </c>
      <c r="W42" s="147">
        <f t="shared" si="21"/>
        <v>14698.184976316235</v>
      </c>
    </row>
    <row r="43" spans="1:23" ht="15">
      <c r="A43" s="83"/>
      <c r="B43" s="628" t="s">
        <v>187</v>
      </c>
      <c r="C43" s="628"/>
      <c r="D43" s="628"/>
      <c r="E43" s="628"/>
      <c r="F43" s="628"/>
      <c r="G43" s="628"/>
      <c r="H43" s="628"/>
      <c r="I43" s="628"/>
      <c r="J43" s="628"/>
      <c r="K43" s="27"/>
      <c r="L43" s="23"/>
      <c r="M43" s="23"/>
      <c r="N43" s="23"/>
      <c r="O43" s="23"/>
      <c r="P43" s="23"/>
      <c r="Q43" s="27"/>
      <c r="R43" s="27"/>
    </row>
  </sheetData>
  <mergeCells count="8">
    <mergeCell ref="B43:J43"/>
    <mergeCell ref="A1:V1"/>
    <mergeCell ref="A2:A4"/>
    <mergeCell ref="B2:B3"/>
    <mergeCell ref="C2:I2"/>
    <mergeCell ref="J2:P2"/>
    <mergeCell ref="J4:P4"/>
    <mergeCell ref="Q2:W2"/>
  </mergeCells>
  <phoneticPr fontId="42" type="noConversion"/>
  <printOptions horizontalCentered="1"/>
  <pageMargins left="0.35433070866141736" right="0.15748031496062992" top="0.59055118110236227" bottom="0.39370078740157483" header="0" footer="0"/>
  <pageSetup paperSize="9" scale="53" orientation="landscape" r:id="rId1"/>
  <headerFooter alignWithMargins="0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W4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5" sqref="B5"/>
    </sheetView>
  </sheetViews>
  <sheetFormatPr defaultRowHeight="12.75"/>
  <cols>
    <col min="1" max="1" width="4.85546875" style="25" customWidth="1"/>
    <col min="2" max="2" width="34.7109375" customWidth="1"/>
    <col min="3" max="8" width="10.140625" style="14" customWidth="1"/>
    <col min="9" max="9" width="10.140625" style="177" customWidth="1"/>
    <col min="10" max="11" width="10.140625" customWidth="1"/>
    <col min="12" max="14" width="10.140625" style="14" customWidth="1"/>
    <col min="15" max="16" width="10.140625" style="177" customWidth="1"/>
    <col min="17" max="19" width="10.140625" customWidth="1"/>
    <col min="23" max="23" width="9.140625" style="14"/>
  </cols>
  <sheetData>
    <row r="1" spans="1:23" ht="27.75" customHeight="1">
      <c r="A1" s="664" t="s">
        <v>109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  <c r="P1" s="664"/>
      <c r="Q1" s="665"/>
      <c r="R1" s="665"/>
      <c r="S1" s="665"/>
      <c r="T1" s="665"/>
      <c r="U1" s="665"/>
      <c r="V1" s="665"/>
    </row>
    <row r="2" spans="1:23" ht="43.5" customHeight="1">
      <c r="A2" s="648" t="s">
        <v>0</v>
      </c>
      <c r="B2" s="648" t="s">
        <v>1</v>
      </c>
      <c r="C2" s="625" t="s">
        <v>185</v>
      </c>
      <c r="D2" s="625"/>
      <c r="E2" s="625"/>
      <c r="F2" s="625"/>
      <c r="G2" s="625"/>
      <c r="H2" s="625"/>
      <c r="I2" s="625"/>
      <c r="J2" s="674" t="s">
        <v>167</v>
      </c>
      <c r="K2" s="675"/>
      <c r="L2" s="675"/>
      <c r="M2" s="675"/>
      <c r="N2" s="675"/>
      <c r="O2" s="675"/>
      <c r="P2" s="676"/>
      <c r="Q2" s="677" t="s">
        <v>168</v>
      </c>
      <c r="R2" s="677"/>
      <c r="S2" s="677"/>
      <c r="T2" s="677"/>
      <c r="U2" s="677"/>
      <c r="V2" s="677"/>
      <c r="W2" s="677"/>
    </row>
    <row r="3" spans="1:23" ht="21.75" customHeight="1">
      <c r="A3" s="649"/>
      <c r="B3" s="649"/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122</v>
      </c>
      <c r="I3" s="253" t="s">
        <v>139</v>
      </c>
      <c r="J3" s="2" t="s">
        <v>3</v>
      </c>
      <c r="K3" s="2" t="s">
        <v>4</v>
      </c>
      <c r="L3" s="1" t="s">
        <v>5</v>
      </c>
      <c r="M3" s="1" t="s">
        <v>6</v>
      </c>
      <c r="N3" s="1" t="s">
        <v>7</v>
      </c>
      <c r="O3" s="1" t="s">
        <v>122</v>
      </c>
      <c r="P3" s="1" t="s">
        <v>139</v>
      </c>
      <c r="Q3" s="2" t="s">
        <v>3</v>
      </c>
      <c r="R3" s="2" t="s">
        <v>4</v>
      </c>
      <c r="S3" s="2" t="s">
        <v>5</v>
      </c>
      <c r="T3" s="1" t="s">
        <v>6</v>
      </c>
      <c r="U3" s="1" t="s">
        <v>7</v>
      </c>
      <c r="V3" s="1" t="s">
        <v>122</v>
      </c>
      <c r="W3" s="1" t="s">
        <v>139</v>
      </c>
    </row>
    <row r="4" spans="1:23" ht="18.75" customHeight="1">
      <c r="A4" s="103"/>
      <c r="B4" s="122">
        <v>41834</v>
      </c>
      <c r="C4" s="1"/>
      <c r="D4" s="1"/>
      <c r="E4" s="1"/>
      <c r="F4" s="1"/>
      <c r="G4" s="1"/>
      <c r="H4" s="1"/>
      <c r="I4" s="254"/>
      <c r="J4" s="668" t="s">
        <v>77</v>
      </c>
      <c r="K4" s="669"/>
      <c r="L4" s="669"/>
      <c r="M4" s="669"/>
      <c r="N4" s="669"/>
      <c r="O4" s="670"/>
      <c r="P4" s="250"/>
      <c r="Q4" s="2"/>
      <c r="R4" s="2"/>
      <c r="S4" s="2"/>
      <c r="T4" s="8"/>
      <c r="U4" s="8"/>
      <c r="V4" s="8"/>
      <c r="W4" s="19"/>
    </row>
    <row r="5" spans="1:23" ht="18.75" customHeight="1">
      <c r="A5" s="3"/>
      <c r="B5" s="4" t="s">
        <v>11</v>
      </c>
      <c r="C5" s="5"/>
      <c r="D5" s="5"/>
      <c r="E5" s="5"/>
      <c r="F5" s="5"/>
      <c r="G5" s="5"/>
      <c r="H5" s="5"/>
      <c r="I5" s="173"/>
      <c r="J5" s="4"/>
      <c r="K5" s="4"/>
      <c r="L5" s="5"/>
      <c r="M5" s="5"/>
      <c r="N5" s="5"/>
      <c r="O5" s="173"/>
      <c r="P5" s="173"/>
      <c r="Q5" s="6"/>
      <c r="R5" s="6"/>
      <c r="S5" s="6"/>
      <c r="T5" s="8"/>
      <c r="U5" s="8"/>
      <c r="V5" s="8"/>
      <c r="W5" s="19"/>
    </row>
    <row r="6" spans="1:23" ht="18.75" customHeight="1">
      <c r="A6" s="3">
        <v>1</v>
      </c>
      <c r="B6" s="6" t="s">
        <v>12</v>
      </c>
      <c r="C6" s="182">
        <f ca="1">+'NON Plan Exp(%GSDP)'!J6</f>
        <v>4810</v>
      </c>
      <c r="D6" s="182">
        <f ca="1">+'NON Plan Exp(%GSDP)'!K6</f>
        <v>5687</v>
      </c>
      <c r="E6" s="182">
        <f ca="1">+'NON Plan Exp(%GSDP)'!L6</f>
        <v>7474</v>
      </c>
      <c r="F6" s="182">
        <f ca="1">+'NON Plan Exp(%GSDP)'!M6</f>
        <v>9013</v>
      </c>
      <c r="G6" s="182">
        <f ca="1">+'NON Plan Exp(%GSDP)'!N6</f>
        <v>10619</v>
      </c>
      <c r="H6" s="182">
        <f ca="1">+'NON Plan Exp(%GSDP)'!O6</f>
        <v>12091</v>
      </c>
      <c r="I6" s="55">
        <f ca="1">+'NON Plan Exp(%GSDP)'!P6</f>
        <v>13382</v>
      </c>
      <c r="J6" s="81">
        <f ca="1">+'Per Capita Total Expenditure'!J6</f>
        <v>0.12786574501684686</v>
      </c>
      <c r="K6" s="81">
        <f ca="1">+'Per Capita Total Expenditure'!K6</f>
        <v>0.1308716724211223</v>
      </c>
      <c r="L6" s="81">
        <f ca="1">+'Per Capita Total Expenditure'!L6</f>
        <v>0.13393853684639914</v>
      </c>
      <c r="M6" s="81">
        <f ca="1">+'Per Capita Total Expenditure'!M6</f>
        <v>0.13706887690687536</v>
      </c>
      <c r="N6" s="81">
        <f ca="1">+'Per Capita Total Expenditure'!N6</f>
        <v>0.14026699866888859</v>
      </c>
      <c r="O6" s="178">
        <f ca="1">+'Per Capita Total Expenditure'!O6</f>
        <v>0.14355350706310671</v>
      </c>
      <c r="P6" s="174">
        <f ca="1">+'Per Capita Total Expenditure'!P6</f>
        <v>0.14691483346585812</v>
      </c>
      <c r="Q6" s="73">
        <f t="shared" ref="Q6:W6" si="0">+C6/J6</f>
        <v>37617.580841266456</v>
      </c>
      <c r="R6" s="73">
        <f t="shared" si="0"/>
        <v>43454.782037935773</v>
      </c>
      <c r="S6" s="73">
        <f t="shared" si="0"/>
        <v>55801.714547406111</v>
      </c>
      <c r="T6" s="73">
        <f t="shared" si="0"/>
        <v>65755.26263429907</v>
      </c>
      <c r="U6" s="73">
        <f t="shared" si="0"/>
        <v>75705.619288732298</v>
      </c>
      <c r="V6" s="73">
        <f t="shared" si="0"/>
        <v>84226.434082761538</v>
      </c>
      <c r="W6" s="18">
        <f t="shared" si="0"/>
        <v>91086.786026340036</v>
      </c>
    </row>
    <row r="7" spans="1:23" ht="18.75" customHeight="1">
      <c r="A7" s="3">
        <v>2</v>
      </c>
      <c r="B7" s="6" t="s">
        <v>13</v>
      </c>
      <c r="C7" s="182">
        <f ca="1">+'NON Plan Exp(%GSDP)'!J7</f>
        <v>71076</v>
      </c>
      <c r="D7" s="182">
        <f ca="1">+'NON Plan Exp(%GSDP)'!K7</f>
        <v>81074</v>
      </c>
      <c r="E7" s="182">
        <f ca="1">+'NON Plan Exp(%GSDP)'!L7</f>
        <v>95975</v>
      </c>
      <c r="F7" s="182">
        <f ca="1">+'NON Plan Exp(%GSDP)'!M7</f>
        <v>112688</v>
      </c>
      <c r="G7" s="182">
        <f ca="1">+'NON Plan Exp(%GSDP)'!N7</f>
        <v>125820</v>
      </c>
      <c r="H7" s="182">
        <f ca="1">+'NON Plan Exp(%GSDP)'!O7</f>
        <v>141621</v>
      </c>
      <c r="I7" s="55">
        <f ca="1">+'NON Plan Exp(%GSDP)'!P7</f>
        <v>162652</v>
      </c>
      <c r="J7" s="81">
        <f ca="1">+'Per Capita Total Expenditure'!J7</f>
        <v>2.9282292155941758</v>
      </c>
      <c r="K7" s="81">
        <f ca="1">+'Per Capita Total Expenditure'!K7</f>
        <v>2.9660151873521725</v>
      </c>
      <c r="L7" s="81">
        <f ca="1">+'Per Capita Total Expenditure'!L7</f>
        <v>3.0036641651692917</v>
      </c>
      <c r="M7" s="81">
        <f ca="1">+'Per Capita Total Expenditure'!M7</f>
        <v>3.0412850968658387</v>
      </c>
      <c r="N7" s="81">
        <f ca="1">+'Per Capita Total Expenditure'!N7</f>
        <v>3.0791157490045311</v>
      </c>
      <c r="O7" s="178">
        <f ca="1">+'Per Capita Total Expenditure'!O7</f>
        <v>3.1167140210006177</v>
      </c>
      <c r="P7" s="174">
        <f ca="1">+'Per Capita Total Expenditure'!P7</f>
        <v>3.1539672951633086</v>
      </c>
      <c r="Q7" s="73">
        <f t="shared" ref="Q7:W8" si="1">+C7/J7</f>
        <v>24272.69000032081</v>
      </c>
      <c r="R7" s="73">
        <f t="shared" si="1"/>
        <v>27334.31721648619</v>
      </c>
      <c r="S7" s="73">
        <f t="shared" si="1"/>
        <v>31952.640083046928</v>
      </c>
      <c r="T7" s="73">
        <f t="shared" si="1"/>
        <v>37052.757768789685</v>
      </c>
      <c r="U7" s="73">
        <f t="shared" si="1"/>
        <v>40862.38071455327</v>
      </c>
      <c r="V7" s="73">
        <f t="shared" si="1"/>
        <v>45439.202649248109</v>
      </c>
      <c r="W7" s="18">
        <f t="shared" si="1"/>
        <v>51570.604504818773</v>
      </c>
    </row>
    <row r="8" spans="1:23" ht="18.75" customHeight="1">
      <c r="A8" s="3">
        <v>3</v>
      </c>
      <c r="B8" s="6" t="s">
        <v>14</v>
      </c>
      <c r="C8" s="182">
        <f ca="1">+'NON Plan Exp(%GSDP)'!J8</f>
        <v>33963</v>
      </c>
      <c r="D8" s="182">
        <f ca="1">+'NON Plan Exp(%GSDP)'!K8</f>
        <v>41483</v>
      </c>
      <c r="E8" s="182">
        <f ca="1">+'NON Plan Exp(%GSDP)'!L8</f>
        <v>48189</v>
      </c>
      <c r="F8" s="182">
        <f ca="1">+'NON Plan Exp(%GSDP)'!M8</f>
        <v>57452</v>
      </c>
      <c r="G8" s="182">
        <f ca="1">+'NON Plan Exp(%GSDP)'!N8</f>
        <v>64957</v>
      </c>
      <c r="H8" s="182">
        <f ca="1">+'NON Plan Exp(%GSDP)'!O8</f>
        <v>73710</v>
      </c>
      <c r="I8" s="55">
        <f ca="1">+'NON Plan Exp(%GSDP)'!P8</f>
        <v>82585</v>
      </c>
      <c r="J8" s="81">
        <f ca="1">+'Per Capita Total Expenditure'!J8</f>
        <v>0.65671084078140518</v>
      </c>
      <c r="K8" s="81">
        <f ca="1">+'Per Capita Total Expenditure'!K8</f>
        <v>0.66359213153241203</v>
      </c>
      <c r="L8" s="81">
        <f ca="1">+'Per Capita Total Expenditure'!L8</f>
        <v>0.67019450573011763</v>
      </c>
      <c r="M8" s="81">
        <f ca="1">+'Per Capita Total Expenditure'!M8</f>
        <v>0.67669396281437522</v>
      </c>
      <c r="N8" s="81">
        <f ca="1">+'Per Capita Total Expenditure'!N8</f>
        <v>0.69010098766654204</v>
      </c>
      <c r="O8" s="178">
        <f ca="1">+'Per Capita Total Expenditure'!O8</f>
        <v>0.69713778804785764</v>
      </c>
      <c r="P8" s="174">
        <f ca="1">+'Per Capita Total Expenditure'!P8</f>
        <v>0.70417118093174436</v>
      </c>
      <c r="Q8" s="73">
        <f t="shared" si="1"/>
        <v>51716.825566010462</v>
      </c>
      <c r="R8" s="73">
        <f t="shared" si="1"/>
        <v>62512.796684621077</v>
      </c>
      <c r="S8" s="73">
        <f t="shared" si="1"/>
        <v>71903.006646559035</v>
      </c>
      <c r="T8" s="73">
        <f t="shared" si="1"/>
        <v>84901.008664325462</v>
      </c>
      <c r="U8" s="73">
        <f t="shared" si="1"/>
        <v>94126.803411252811</v>
      </c>
      <c r="V8" s="73">
        <f t="shared" si="1"/>
        <v>105732.32618246753</v>
      </c>
      <c r="W8" s="18">
        <f t="shared" si="1"/>
        <v>117279.72151703977</v>
      </c>
    </row>
    <row r="9" spans="1:23" ht="18.75" customHeight="1">
      <c r="A9" s="3">
        <v>4</v>
      </c>
      <c r="B9" s="6" t="s">
        <v>52</v>
      </c>
      <c r="C9" s="182">
        <f ca="1">+'NON Plan Exp(%GSDP)'!J9</f>
        <v>37099</v>
      </c>
      <c r="D9" s="182">
        <f ca="1">+'NON Plan Exp(%GSDP)'!K9</f>
        <v>42315</v>
      </c>
      <c r="E9" s="182">
        <f ca="1">+'NON Plan Exp(%GSDP)'!L9</f>
        <v>48385</v>
      </c>
      <c r="F9" s="182">
        <f ca="1">+'NON Plan Exp(%GSDP)'!M9</f>
        <v>58073</v>
      </c>
      <c r="G9" s="182">
        <f ca="1">+'NON Plan Exp(%GSDP)'!N9</f>
        <v>65759</v>
      </c>
      <c r="H9" s="182">
        <f ca="1">+'NON Plan Exp(%GSDP)'!O9</f>
        <v>75574</v>
      </c>
      <c r="I9" s="55">
        <f ca="1">+'NON Plan Exp(%GSDP)'!P9</f>
        <v>87319</v>
      </c>
      <c r="J9" s="81">
        <f ca="1">+'Per Capita Total Expenditure'!J9</f>
        <v>1.1192072282133489</v>
      </c>
      <c r="K9" s="81">
        <f ca="1">+'Per Capita Total Expenditure'!K9</f>
        <v>1.1349794783529723</v>
      </c>
      <c r="L9" s="81">
        <f ca="1">+'Per Capita Total Expenditure'!L9</f>
        <v>1.1506092124814264</v>
      </c>
      <c r="M9" s="81">
        <f ca="1">+'Per Capita Total Expenditure'!M9</f>
        <v>1.1659058594626954</v>
      </c>
      <c r="N9" s="81">
        <f ca="1">+'Per Capita Total Expenditure'!N9</f>
        <v>1.180605336519315</v>
      </c>
      <c r="O9" s="178">
        <f ca="1">+'Per Capita Total Expenditure'!O9</f>
        <v>1.1951915794379819</v>
      </c>
      <c r="P9" s="174">
        <f ca="1">+'Per Capita Total Expenditure'!P9</f>
        <v>1.20959457335222</v>
      </c>
      <c r="Q9" s="73">
        <f t="shared" ref="Q9:Q16" si="2">+C9/J9</f>
        <v>33147.570052083334</v>
      </c>
      <c r="R9" s="73">
        <f t="shared" ref="R9:R16" si="3">+D9/K9</f>
        <v>37282.61242344707</v>
      </c>
      <c r="S9" s="73">
        <f t="shared" ref="S9:S16" si="4">+E9/L9</f>
        <v>42051.636189885838</v>
      </c>
      <c r="T9" s="73">
        <f t="shared" ref="T9:T16" si="5">+F9/M9</f>
        <v>49809.338831835688</v>
      </c>
      <c r="U9" s="73">
        <f t="shared" ref="U9:U16" si="6">+G9/N9</f>
        <v>55699.392477652218</v>
      </c>
      <c r="V9" s="73">
        <f t="shared" ref="V9:V16" si="7">+H9/O9</f>
        <v>63231.703854153122</v>
      </c>
      <c r="W9" s="18">
        <f t="shared" ref="W9:W16" si="8">+I9/P9</f>
        <v>72188.650580671645</v>
      </c>
    </row>
    <row r="10" spans="1:23" ht="18.75" customHeight="1">
      <c r="A10" s="3">
        <v>5</v>
      </c>
      <c r="B10" s="6" t="s">
        <v>16</v>
      </c>
      <c r="C10" s="182">
        <f ca="1">+'NON Plan Exp(%GSDP)'!J10</f>
        <v>6783</v>
      </c>
      <c r="D10" s="182">
        <f ca="1">+'NON Plan Exp(%GSDP)'!K10</f>
        <v>7399</v>
      </c>
      <c r="E10" s="182">
        <f ca="1">+'NON Plan Exp(%GSDP)'!L10</f>
        <v>8254</v>
      </c>
      <c r="F10" s="182">
        <f ca="1">+'NON Plan Exp(%GSDP)'!M10</f>
        <v>9137</v>
      </c>
      <c r="G10" s="182">
        <f ca="1">+'NON Plan Exp(%GSDP)'!N10</f>
        <v>10504</v>
      </c>
      <c r="H10" s="182">
        <f ca="1">+'NON Plan Exp(%GSDP)'!O10</f>
        <v>11983</v>
      </c>
      <c r="I10" s="55">
        <f ca="1">+'NON Plan Exp(%GSDP)'!P10</f>
        <v>13433.125480627126</v>
      </c>
      <c r="J10" s="81">
        <f ca="1">+'Per Capita Total Expenditure'!J10</f>
        <v>0.26194084787597971</v>
      </c>
      <c r="K10" s="81">
        <f ca="1">+'Per Capita Total Expenditure'!K10</f>
        <v>0.2669842166875227</v>
      </c>
      <c r="L10" s="81">
        <f ca="1">+'Per Capita Total Expenditure'!L10</f>
        <v>0.2720797195054438</v>
      </c>
      <c r="M10" s="81">
        <f ca="1">+'Per Capita Total Expenditure'!M10</f>
        <v>0.27721129584183057</v>
      </c>
      <c r="N10" s="81">
        <f ca="1">+'Per Capita Total Expenditure'!N10</f>
        <v>0.2823442909224595</v>
      </c>
      <c r="O10" s="178">
        <f ca="1">+'Per Capita Total Expenditure'!O10</f>
        <v>0.28757471075286506</v>
      </c>
      <c r="P10" s="174">
        <f ca="1">+'Per Capita Total Expenditure'!P10</f>
        <v>0.29290202395948489</v>
      </c>
      <c r="Q10" s="73">
        <f t="shared" si="2"/>
        <v>25895.159365184329</v>
      </c>
      <c r="R10" s="73">
        <f t="shared" si="3"/>
        <v>27713.248714847294</v>
      </c>
      <c r="S10" s="73">
        <f t="shared" si="4"/>
        <v>30336.696961475856</v>
      </c>
      <c r="T10" s="73">
        <f t="shared" si="5"/>
        <v>32960.417331670818</v>
      </c>
      <c r="U10" s="73">
        <f t="shared" si="6"/>
        <v>37202.806423611109</v>
      </c>
      <c r="V10" s="73">
        <f t="shared" si="7"/>
        <v>41669.171703689579</v>
      </c>
      <c r="W10" s="18">
        <f t="shared" si="8"/>
        <v>45862.180462383003</v>
      </c>
    </row>
    <row r="11" spans="1:23" ht="18.75" customHeight="1">
      <c r="A11" s="3">
        <v>6</v>
      </c>
      <c r="B11" s="6" t="s">
        <v>17</v>
      </c>
      <c r="C11" s="182">
        <f ca="1">+'NON Plan Exp(%GSDP)'!J11</f>
        <v>9735</v>
      </c>
      <c r="D11" s="182">
        <f ca="1">+'NON Plan Exp(%GSDP)'!K11</f>
        <v>11617</v>
      </c>
      <c r="E11" s="182">
        <f ca="1">+'NON Plan Exp(%GSDP)'!L11</f>
        <v>12709</v>
      </c>
      <c r="F11" s="182">
        <f ca="1">+'NON Plan Exp(%GSDP)'!M11</f>
        <v>14583</v>
      </c>
      <c r="G11" s="182">
        <f ca="1">+'NON Plan Exp(%GSDP)'!N11</f>
        <v>16412</v>
      </c>
      <c r="H11" s="182">
        <f ca="1">+'NON Plan Exp(%GSDP)'!O11</f>
        <v>18135</v>
      </c>
      <c r="I11" s="55">
        <f ca="1">+'NON Plan Exp(%GSDP)'!P11</f>
        <v>20808</v>
      </c>
      <c r="J11" s="81">
        <f ca="1">+'Per Capita Total Expenditure'!J11</f>
        <v>0.25180402582605393</v>
      </c>
      <c r="K11" s="81">
        <f ca="1">+'Per Capita Total Expenditure'!K11</f>
        <v>0.25481112781213811</v>
      </c>
      <c r="L11" s="81">
        <f ca="1">+'Per Capita Total Expenditure'!L11</f>
        <v>0.25779982383755967</v>
      </c>
      <c r="M11" s="81">
        <f ca="1">+'Per Capita Total Expenditure'!M11</f>
        <v>0.260896043523274</v>
      </c>
      <c r="N11" s="81">
        <f ca="1">+'Per Capita Total Expenditure'!N11</f>
        <v>0.26390718782023131</v>
      </c>
      <c r="O11" s="178">
        <f ca="1">+'Per Capita Total Expenditure'!O11</f>
        <v>0.26689966897988676</v>
      </c>
      <c r="P11" s="174">
        <f ca="1">+'Per Capita Total Expenditure'!P11</f>
        <v>0.26999925942383174</v>
      </c>
      <c r="Q11" s="73">
        <f t="shared" si="2"/>
        <v>38661.018099547509</v>
      </c>
      <c r="R11" s="73">
        <f t="shared" si="3"/>
        <v>45590.630596654089</v>
      </c>
      <c r="S11" s="73">
        <f t="shared" si="4"/>
        <v>49297.939039741053</v>
      </c>
      <c r="T11" s="73">
        <f t="shared" si="5"/>
        <v>55895.826563958915</v>
      </c>
      <c r="U11" s="73">
        <f t="shared" si="6"/>
        <v>62188.529746221044</v>
      </c>
      <c r="V11" s="73">
        <f t="shared" si="7"/>
        <v>67946.880823470157</v>
      </c>
      <c r="W11" s="18">
        <f t="shared" si="8"/>
        <v>77066.878051456471</v>
      </c>
    </row>
    <row r="12" spans="1:23" ht="18.75" customHeight="1">
      <c r="A12" s="3">
        <v>7</v>
      </c>
      <c r="B12" s="6" t="s">
        <v>18</v>
      </c>
      <c r="C12" s="182">
        <f ca="1">+'NON Plan Exp(%GSDP)'!J12</f>
        <v>3816</v>
      </c>
      <c r="D12" s="182">
        <f ca="1">+'NON Plan Exp(%GSDP)'!K12</f>
        <v>4577</v>
      </c>
      <c r="E12" s="182">
        <f ca="1">+'NON Plan Exp(%GSDP)'!L12</f>
        <v>5260</v>
      </c>
      <c r="F12" s="182">
        <f ca="1">+'NON Plan Exp(%GSDP)'!M12</f>
        <v>6388</v>
      </c>
      <c r="G12" s="182">
        <f ca="1">+'NON Plan Exp(%GSDP)'!N12</f>
        <v>7198</v>
      </c>
      <c r="H12" s="18">
        <f ca="1">+'NON Plan Exp(%GSDP)'!O12</f>
        <v>8053</v>
      </c>
      <c r="I12" s="55">
        <f ca="1">+'NON Plan Exp(%GSDP)'!P12</f>
        <v>9366.0879379254438</v>
      </c>
      <c r="J12" s="81">
        <f ca="1">+'Per Capita Total Expenditure'!J12</f>
        <v>0.10499261265698104</v>
      </c>
      <c r="K12" s="81">
        <f ca="1">+'Per Capita Total Expenditure'!K12</f>
        <v>0.10766678762117049</v>
      </c>
      <c r="L12" s="81">
        <f ca="1">+'Per Capita Total Expenditure'!L12</f>
        <v>0.11042959147840337</v>
      </c>
      <c r="M12" s="81">
        <f ca="1">+'Per Capita Total Expenditure'!M12</f>
        <v>0.11327419734673051</v>
      </c>
      <c r="N12" s="81">
        <f ca="1">+'Per Capita Total Expenditure'!N12</f>
        <v>0.11616505028092904</v>
      </c>
      <c r="O12" s="178">
        <f ca="1">+'Per Capita Total Expenditure'!O12</f>
        <v>0.11915642054046946</v>
      </c>
      <c r="P12" s="174">
        <f ca="1">+'Per Capita Total Expenditure'!P12</f>
        <v>0.12222482167984873</v>
      </c>
      <c r="Q12" s="73">
        <f t="shared" si="2"/>
        <v>36345.414248021109</v>
      </c>
      <c r="R12" s="73">
        <f t="shared" si="3"/>
        <v>42510.788155994225</v>
      </c>
      <c r="S12" s="73">
        <f t="shared" si="4"/>
        <v>47632.160271358916</v>
      </c>
      <c r="T12" s="73">
        <f t="shared" si="5"/>
        <v>56394.131670131668</v>
      </c>
      <c r="U12" s="73">
        <f t="shared" si="6"/>
        <v>61963.55945779421</v>
      </c>
      <c r="V12" s="73">
        <f t="shared" si="7"/>
        <v>67583.433301144978</v>
      </c>
      <c r="W12" s="18">
        <f t="shared" si="8"/>
        <v>76629.998794014493</v>
      </c>
    </row>
    <row r="13" spans="1:23" ht="18.75" customHeight="1">
      <c r="A13" s="3">
        <v>8</v>
      </c>
      <c r="B13" s="6" t="s">
        <v>19</v>
      </c>
      <c r="C13" s="182">
        <f ca="1">+'NON Plan Exp(%GSDP)'!J13</f>
        <v>8075</v>
      </c>
      <c r="D13" s="182">
        <f ca="1">+'NON Plan Exp(%GSDP)'!K13</f>
        <v>9436</v>
      </c>
      <c r="E13" s="182">
        <f ca="1">+'NON Plan Exp(%GSDP)'!L13</f>
        <v>10527</v>
      </c>
      <c r="F13" s="182">
        <f ca="1">+'NON Plan Exp(%GSDP)'!M13</f>
        <v>11759</v>
      </c>
      <c r="G13" s="182">
        <f ca="1">+'NON Plan Exp(%GSDP)'!N13</f>
        <v>13203</v>
      </c>
      <c r="H13" s="182">
        <f ca="1">+'NON Plan Exp(%GSDP)'!O13</f>
        <v>14832</v>
      </c>
      <c r="I13" s="55">
        <f ca="1">+'NON Plan Exp(%GSDP)'!P13</f>
        <v>16703.207706222278</v>
      </c>
      <c r="J13" s="81">
        <f ca="1">+'Per Capita Total Expenditure'!J13</f>
        <v>0.18699624857064523</v>
      </c>
      <c r="K13" s="81">
        <f ca="1">+'Per Capita Total Expenditure'!K13</f>
        <v>0.19010302987524846</v>
      </c>
      <c r="L13" s="81">
        <f ca="1">+'Per Capita Total Expenditure'!L13</f>
        <v>0.19320318324676342</v>
      </c>
      <c r="M13" s="81">
        <f ca="1">+'Per Capita Total Expenditure'!M13</f>
        <v>0.19520683673713918</v>
      </c>
      <c r="N13" s="81">
        <f ca="1">+'Per Capita Total Expenditure'!N13</f>
        <v>0.20119488263754368</v>
      </c>
      <c r="O13" s="178">
        <f ca="1">+'Per Capita Total Expenditure'!O13</f>
        <v>0.20759347572032161</v>
      </c>
      <c r="P13" s="174">
        <f ca="1">+'Per Capita Total Expenditure'!P13</f>
        <v>0.21419556301181025</v>
      </c>
      <c r="Q13" s="73">
        <f t="shared" si="2"/>
        <v>43182.684474813672</v>
      </c>
      <c r="R13" s="73">
        <f t="shared" si="3"/>
        <v>49636.242021982485</v>
      </c>
      <c r="S13" s="73">
        <f t="shared" si="4"/>
        <v>54486.679893646891</v>
      </c>
      <c r="T13" s="73">
        <f t="shared" si="5"/>
        <v>60238.668873234121</v>
      </c>
      <c r="U13" s="73">
        <f t="shared" si="6"/>
        <v>65622.941433284112</v>
      </c>
      <c r="V13" s="73">
        <f t="shared" si="7"/>
        <v>71447.33209237401</v>
      </c>
      <c r="W13" s="18">
        <f t="shared" si="8"/>
        <v>77981.109745495996</v>
      </c>
    </row>
    <row r="14" spans="1:23" ht="18.75" customHeight="1">
      <c r="A14" s="3">
        <v>9</v>
      </c>
      <c r="B14" s="6" t="s">
        <v>20</v>
      </c>
      <c r="C14" s="182">
        <f ca="1">+'NON Plan Exp(%GSDP)'!J14</f>
        <v>2506</v>
      </c>
      <c r="D14" s="182">
        <f ca="1">+'NON Plan Exp(%GSDP)'!K14</f>
        <v>3229</v>
      </c>
      <c r="E14" s="182">
        <f ca="1">+'NON Plan Exp(%GSDP)'!L14</f>
        <v>6133</v>
      </c>
      <c r="F14" s="182">
        <f ca="1">+'NON Plan Exp(%GSDP)'!M14</f>
        <v>7412</v>
      </c>
      <c r="G14" s="182">
        <f ca="1">+'NON Plan Exp(%GSDP)'!N14</f>
        <v>8616</v>
      </c>
      <c r="H14" s="182">
        <f ca="1">+'NON Plan Exp(%GSDP)'!O14</f>
        <v>9957</v>
      </c>
      <c r="I14" s="55">
        <f ca="1">+'NON Plan Exp(%GSDP)'!P14</f>
        <v>13261.907960807141</v>
      </c>
      <c r="J14" s="81">
        <f ca="1">+'Per Capita Total Expenditure'!J14</f>
        <v>5.8686606987809253E-2</v>
      </c>
      <c r="K14" s="81">
        <f ca="1">+'Per Capita Total Expenditure'!K14</f>
        <v>5.9510609330691619E-2</v>
      </c>
      <c r="L14" s="81">
        <f ca="1">+'Per Capita Total Expenditure'!L14</f>
        <v>6.0198829669929232E-2</v>
      </c>
      <c r="M14" s="81">
        <f ca="1">+'Per Capita Total Expenditure'!M14</f>
        <v>6.0896189017696341E-2</v>
      </c>
      <c r="N14" s="81">
        <f ca="1">+'Per Capita Total Expenditure'!N14</f>
        <v>6.1703338563007117E-2</v>
      </c>
      <c r="O14" s="178">
        <f ca="1">+'Per Capita Total Expenditure'!O14</f>
        <v>6.2303317009554E-2</v>
      </c>
      <c r="P14" s="174">
        <f ca="1">+'Per Capita Total Expenditure'!P14</f>
        <v>6.2909129405198355E-2</v>
      </c>
      <c r="Q14" s="73">
        <f t="shared" si="2"/>
        <v>42701.395235212047</v>
      </c>
      <c r="R14" s="73">
        <f t="shared" si="3"/>
        <v>54259.232703481939</v>
      </c>
      <c r="S14" s="73">
        <f t="shared" si="4"/>
        <v>101879.05701202662</v>
      </c>
      <c r="T14" s="73">
        <f t="shared" si="5"/>
        <v>121715.33423620457</v>
      </c>
      <c r="U14" s="73">
        <f t="shared" si="6"/>
        <v>139635.88033736532</v>
      </c>
      <c r="V14" s="73">
        <f t="shared" si="7"/>
        <v>159814.92604114686</v>
      </c>
      <c r="W14" s="18">
        <f t="shared" si="8"/>
        <v>210810.54667577823</v>
      </c>
    </row>
    <row r="15" spans="1:23" ht="18.75" customHeight="1">
      <c r="A15" s="3">
        <v>10</v>
      </c>
      <c r="B15" s="6" t="s">
        <v>21</v>
      </c>
      <c r="C15" s="182">
        <f ca="1">+'NON Plan Exp(%GSDP)'!J15</f>
        <v>11797</v>
      </c>
      <c r="D15" s="182">
        <f ca="1">+'NON Plan Exp(%GSDP)'!K15</f>
        <v>13573</v>
      </c>
      <c r="E15" s="182">
        <f ca="1">+'NON Plan Exp(%GSDP)'!L15</f>
        <v>15403</v>
      </c>
      <c r="F15" s="182">
        <f ca="1">+'NON Plan Exp(%GSDP)'!M15</f>
        <v>17868</v>
      </c>
      <c r="G15" s="182">
        <f ca="1">+'NON Plan Exp(%GSDP)'!N15</f>
        <v>20982</v>
      </c>
      <c r="H15" s="182">
        <f ca="1">+'NON Plan Exp(%GSDP)'!O15</f>
        <v>23855</v>
      </c>
      <c r="I15" s="55">
        <f ca="1">+'NON Plan Exp(%GSDP)'!P15</f>
        <v>27499.381963863005</v>
      </c>
      <c r="J15" s="81">
        <f ca="1">+'Per Capita Total Expenditure'!J15</f>
        <v>0.34739710716694622</v>
      </c>
      <c r="K15" s="81">
        <f ca="1">+'Per Capita Total Expenditure'!K15</f>
        <v>0.35149999999999998</v>
      </c>
      <c r="L15" s="81">
        <f ca="1">+'Per Capita Total Expenditure'!L15</f>
        <v>0.35569146059196433</v>
      </c>
      <c r="M15" s="81">
        <f ca="1">+'Per Capita Total Expenditure'!M15</f>
        <v>0.35989066234328076</v>
      </c>
      <c r="N15" s="81">
        <f ca="1">+'Per Capita Total Expenditure'!N15</f>
        <v>0.364107605762227</v>
      </c>
      <c r="O15" s="178">
        <f ca="1">+'Per Capita Total Expenditure'!O15</f>
        <v>0.36830654652793698</v>
      </c>
      <c r="P15" s="174">
        <f ca="1">+'Per Capita Total Expenditure'!P15</f>
        <v>0.37255391007656857</v>
      </c>
      <c r="Q15" s="73">
        <f t="shared" si="2"/>
        <v>33958.256291209698</v>
      </c>
      <c r="R15" s="73">
        <f t="shared" si="3"/>
        <v>38614.509246088193</v>
      </c>
      <c r="S15" s="73">
        <f t="shared" si="4"/>
        <v>43304.385138640522</v>
      </c>
      <c r="T15" s="73">
        <f t="shared" si="5"/>
        <v>49648.412336290778</v>
      </c>
      <c r="U15" s="73">
        <f t="shared" si="6"/>
        <v>57625.821784403655</v>
      </c>
      <c r="V15" s="73">
        <f t="shared" si="7"/>
        <v>64769.416196598984</v>
      </c>
      <c r="W15" s="18">
        <f t="shared" si="8"/>
        <v>73813.161585691676</v>
      </c>
    </row>
    <row r="16" spans="1:23" ht="18.75" customHeight="1">
      <c r="A16" s="3">
        <v>11</v>
      </c>
      <c r="B16" s="6" t="s">
        <v>22</v>
      </c>
      <c r="C16" s="182">
        <f ca="1">+'NON Plan Exp(%GSDP)'!J16</f>
        <v>45856</v>
      </c>
      <c r="D16" s="182">
        <f ca="1">+'NON Plan Exp(%GSDP)'!K16</f>
        <v>56025</v>
      </c>
      <c r="E16" s="182">
        <f ca="1">+'NON Plan Exp(%GSDP)'!L16</f>
        <v>70730</v>
      </c>
      <c r="F16" s="182">
        <f ca="1">+'NON Plan Exp(%GSDP)'!M16</f>
        <v>83969</v>
      </c>
      <c r="G16" s="182">
        <f ca="1">+'NON Plan Exp(%GSDP)'!N16</f>
        <v>97696</v>
      </c>
      <c r="H16" s="182">
        <f ca="1">+'NON Plan Exp(%GSDP)'!O16</f>
        <v>113958</v>
      </c>
      <c r="I16" s="55">
        <f ca="1">+'NON Plan Exp(%GSDP)'!P16</f>
        <v>132969</v>
      </c>
      <c r="J16" s="81">
        <f ca="1">+'Per Capita Total Expenditure'!J16</f>
        <v>0.94510563135508641</v>
      </c>
      <c r="K16" s="81">
        <f ca="1">+'Per Capita Total Expenditure'!K16</f>
        <v>0.95970217145052783</v>
      </c>
      <c r="L16" s="81">
        <f ca="1">+'Per Capita Total Expenditure'!L16</f>
        <v>0.97419872524619677</v>
      </c>
      <c r="M16" s="81">
        <f ca="1">+'Per Capita Total Expenditure'!M16</f>
        <v>0.98849889594819762</v>
      </c>
      <c r="N16" s="81">
        <f ca="1">+'Per Capita Total Expenditure'!N16</f>
        <v>1.0027028941032057</v>
      </c>
      <c r="O16" s="178">
        <f ca="1">+'Per Capita Total Expenditure'!O16</f>
        <v>1.0167028955787056</v>
      </c>
      <c r="P16" s="174">
        <f ca="1">+'Per Capita Total Expenditure'!P16</f>
        <v>1.0305973600882343</v>
      </c>
      <c r="Q16" s="73">
        <f t="shared" si="2"/>
        <v>48519.444259634729</v>
      </c>
      <c r="R16" s="73">
        <f t="shared" si="3"/>
        <v>58377.485918701037</v>
      </c>
      <c r="S16" s="73">
        <f t="shared" si="4"/>
        <v>72603.256570804195</v>
      </c>
      <c r="T16" s="73">
        <f t="shared" si="5"/>
        <v>84945.972468137596</v>
      </c>
      <c r="U16" s="73">
        <f t="shared" si="6"/>
        <v>97432.649865219588</v>
      </c>
      <c r="V16" s="73">
        <f t="shared" si="7"/>
        <v>112085.84188710833</v>
      </c>
      <c r="W16" s="18">
        <f t="shared" si="8"/>
        <v>129021.2891566265</v>
      </c>
    </row>
    <row r="17" spans="1:23" s="75" customFormat="1" ht="18.75" customHeight="1">
      <c r="A17" s="72"/>
      <c r="B17" s="4" t="s">
        <v>23</v>
      </c>
      <c r="C17" s="183">
        <f t="shared" ref="C17:O17" si="9">SUM(C6:C16)</f>
        <v>235516</v>
      </c>
      <c r="D17" s="183">
        <f t="shared" si="9"/>
        <v>276415</v>
      </c>
      <c r="E17" s="183">
        <f t="shared" si="9"/>
        <v>329039</v>
      </c>
      <c r="F17" s="183">
        <f t="shared" si="9"/>
        <v>388342</v>
      </c>
      <c r="G17" s="183">
        <f t="shared" si="9"/>
        <v>441766</v>
      </c>
      <c r="H17" s="183">
        <f t="shared" si="9"/>
        <v>503769</v>
      </c>
      <c r="I17" s="242">
        <f ca="1">SUM(I6:I16)</f>
        <v>579978.71104944497</v>
      </c>
      <c r="J17" s="82">
        <f t="shared" si="9"/>
        <v>6.9889361100452803</v>
      </c>
      <c r="K17" s="82">
        <f t="shared" si="9"/>
        <v>7.0857364124359776</v>
      </c>
      <c r="L17" s="87">
        <f t="shared" si="9"/>
        <v>7.182007753803493</v>
      </c>
      <c r="M17" s="87">
        <f t="shared" si="9"/>
        <v>7.2768279168079326</v>
      </c>
      <c r="N17" s="87">
        <f t="shared" si="9"/>
        <v>7.3822143219488803</v>
      </c>
      <c r="O17" s="175">
        <f t="shared" si="9"/>
        <v>7.4811339306593041</v>
      </c>
      <c r="P17" s="175">
        <f ca="1">SUM(P6:P16)</f>
        <v>7.5800299505581084</v>
      </c>
      <c r="Q17" s="74">
        <f t="shared" ref="Q17:W17" si="10">+C17/J17</f>
        <v>33698.40506361048</v>
      </c>
      <c r="R17" s="74">
        <f t="shared" si="10"/>
        <v>39010.0596340095</v>
      </c>
      <c r="S17" s="74">
        <f t="shared" si="10"/>
        <v>45814.347641959233</v>
      </c>
      <c r="T17" s="74">
        <f t="shared" si="10"/>
        <v>53366.934664349028</v>
      </c>
      <c r="U17" s="74">
        <f t="shared" si="10"/>
        <v>59841.936407418638</v>
      </c>
      <c r="V17" s="74">
        <f t="shared" si="10"/>
        <v>67338.588597571521</v>
      </c>
      <c r="W17" s="66">
        <f t="shared" si="10"/>
        <v>76514.039500166065</v>
      </c>
    </row>
    <row r="18" spans="1:23" ht="18.75" customHeight="1">
      <c r="A18" s="3"/>
      <c r="B18" s="4" t="s">
        <v>189</v>
      </c>
      <c r="C18" s="183"/>
      <c r="D18" s="183"/>
      <c r="E18" s="183"/>
      <c r="F18" s="183"/>
      <c r="G18" s="183"/>
      <c r="H18" s="183"/>
      <c r="I18" s="242"/>
      <c r="J18" s="82"/>
      <c r="K18" s="82"/>
      <c r="L18" s="87"/>
      <c r="M18" s="87"/>
      <c r="N18" s="87"/>
      <c r="O18" s="175"/>
      <c r="P18" s="175"/>
      <c r="Q18" s="73"/>
      <c r="R18" s="73"/>
      <c r="S18" s="73"/>
      <c r="T18" s="73"/>
      <c r="U18" s="73"/>
      <c r="V18" s="73"/>
      <c r="W18" s="18"/>
    </row>
    <row r="19" spans="1:23" ht="18.75" customHeight="1">
      <c r="A19" s="3">
        <v>12</v>
      </c>
      <c r="B19" s="6" t="s">
        <v>25</v>
      </c>
      <c r="C19" s="182">
        <f ca="1">+'NON Plan Exp(%GSDP)'!J19</f>
        <v>364813</v>
      </c>
      <c r="D19" s="182">
        <f ca="1">+'NON Plan Exp(%GSDP)'!K19</f>
        <v>426765</v>
      </c>
      <c r="E19" s="182">
        <f ca="1">+'NON Plan Exp(%GSDP)'!L19</f>
        <v>476835</v>
      </c>
      <c r="F19" s="182">
        <f ca="1">+'NON Plan Exp(%GSDP)'!M19</f>
        <v>583762</v>
      </c>
      <c r="G19" s="182">
        <f ca="1">+'NON Plan Exp(%GSDP)'!N19</f>
        <v>662592</v>
      </c>
      <c r="H19" s="18">
        <f ca="1">+'NON Plan Exp(%GSDP)'!O19</f>
        <v>754409</v>
      </c>
      <c r="I19" s="55">
        <f ca="1">+'NON Plan Exp(%GSDP)'!P19</f>
        <v>857364</v>
      </c>
      <c r="J19" s="81">
        <f ca="1">+'Per Capita Total Expenditure'!J19</f>
        <v>8.2049105722030351</v>
      </c>
      <c r="K19" s="81">
        <f ca="1">+'Per Capita Total Expenditure'!K19</f>
        <v>8.2858010788663012</v>
      </c>
      <c r="L19" s="81">
        <f ca="1">+'Per Capita Total Expenditure'!L19</f>
        <v>8.3648937394377469</v>
      </c>
      <c r="M19" s="81">
        <f ca="1">+'Per Capita Total Expenditure'!M19</f>
        <v>8.442601287239448</v>
      </c>
      <c r="N19" s="81">
        <f ca="1">+'Per Capita Total Expenditure'!N19</f>
        <v>8.5187932608680885</v>
      </c>
      <c r="O19" s="178">
        <f ca="1">+'Per Capita Total Expenditure'!O19</f>
        <v>8.5934986068512735</v>
      </c>
      <c r="P19" s="174">
        <f ca="1">+'Per Capita Total Expenditure'!P19</f>
        <v>8.6663001545567955</v>
      </c>
      <c r="Q19" s="73">
        <f t="shared" ref="Q19:W19" si="11">+C19/J19</f>
        <v>44462.763705911661</v>
      </c>
      <c r="R19" s="73">
        <f t="shared" si="11"/>
        <v>51505.581166859462</v>
      </c>
      <c r="S19" s="73">
        <f t="shared" si="11"/>
        <v>57004.310497320301</v>
      </c>
      <c r="T19" s="73">
        <f t="shared" si="11"/>
        <v>69144.802666723801</v>
      </c>
      <c r="U19" s="73">
        <f t="shared" si="11"/>
        <v>77780.030540673091</v>
      </c>
      <c r="V19" s="73">
        <f t="shared" si="11"/>
        <v>87788.342619679723</v>
      </c>
      <c r="W19" s="18">
        <f t="shared" si="11"/>
        <v>98930.799154145687</v>
      </c>
    </row>
    <row r="20" spans="1:23" ht="18.75" customHeight="1">
      <c r="A20" s="3">
        <v>13</v>
      </c>
      <c r="B20" s="6" t="s">
        <v>26</v>
      </c>
      <c r="C20" s="182">
        <f ca="1">+'NON Plan Exp(%GSDP)'!J20</f>
        <v>113680</v>
      </c>
      <c r="D20" s="182">
        <f ca="1">+'NON Plan Exp(%GSDP)'!K20</f>
        <v>142279</v>
      </c>
      <c r="E20" s="182">
        <f ca="1">+'NON Plan Exp(%GSDP)'!L20</f>
        <v>162924</v>
      </c>
      <c r="F20" s="182">
        <f ca="1">+'NON Plan Exp(%GSDP)'!M20</f>
        <v>204289</v>
      </c>
      <c r="G20" s="182">
        <f ca="1">+'NON Plan Exp(%GSDP)'!N20</f>
        <v>247318</v>
      </c>
      <c r="H20" s="18">
        <f ca="1">+'NON Plan Exp(%GSDP)'!O20</f>
        <v>313995</v>
      </c>
      <c r="I20" s="55">
        <f ca="1">+'NON Plan Exp(%GSDP)'!P20</f>
        <v>368337</v>
      </c>
      <c r="J20" s="81">
        <f ca="1">+'Per Capita Total Expenditure'!J20</f>
        <v>9.3071215274635772</v>
      </c>
      <c r="K20" s="81">
        <f ca="1">+'Per Capita Total Expenditure'!K20</f>
        <v>9.447115384615385</v>
      </c>
      <c r="L20" s="81">
        <f ca="1">+'Per Capita Total Expenditure'!L20</f>
        <v>9.5847835931940217</v>
      </c>
      <c r="M20" s="81">
        <f ca="1">+'Per Capita Total Expenditure'!M20</f>
        <v>9.7190285088862254</v>
      </c>
      <c r="N20" s="81">
        <f ca="1">+'Per Capita Total Expenditure'!N20</f>
        <v>9.8504778946449623</v>
      </c>
      <c r="O20" s="178">
        <f ca="1">+'Per Capita Total Expenditure'!O20</f>
        <v>9.9787655522346554</v>
      </c>
      <c r="P20" s="174">
        <f ca="1">+'Per Capita Total Expenditure'!P20</f>
        <v>10.103589467706746</v>
      </c>
      <c r="Q20" s="73">
        <f t="shared" ref="Q20:Q36" si="12">+C20/J20</f>
        <v>12214.302742749362</v>
      </c>
      <c r="R20" s="73">
        <f t="shared" ref="R20:R36" si="13">+D20/K20</f>
        <v>15060.576081424935</v>
      </c>
      <c r="S20" s="73">
        <f t="shared" ref="S20:S35" si="14">+E20/L20</f>
        <v>16998.192855985744</v>
      </c>
      <c r="T20" s="73">
        <f t="shared" ref="T20:T36" si="15">+F20/M20</f>
        <v>21019.487679577862</v>
      </c>
      <c r="U20" s="73">
        <f t="shared" ref="U20:U36" si="16">+G20/N20</f>
        <v>25107.208263920886</v>
      </c>
      <c r="V20" s="73">
        <f t="shared" ref="V20:W35" si="17">+H20/O20</f>
        <v>31466.316986441638</v>
      </c>
      <c r="W20" s="18">
        <f t="shared" si="17"/>
        <v>36456.053680455312</v>
      </c>
    </row>
    <row r="21" spans="1:23" ht="18.75" customHeight="1">
      <c r="A21" s="3">
        <v>14</v>
      </c>
      <c r="B21" s="6" t="s">
        <v>27</v>
      </c>
      <c r="C21" s="182">
        <f ca="1">+'NON Plan Exp(%GSDP)'!J21</f>
        <v>80255</v>
      </c>
      <c r="D21" s="182">
        <f ca="1">+'NON Plan Exp(%GSDP)'!K21</f>
        <v>96972</v>
      </c>
      <c r="E21" s="182">
        <f ca="1">+'NON Plan Exp(%GSDP)'!L21</f>
        <v>99364</v>
      </c>
      <c r="F21" s="182">
        <f ca="1">+'NON Plan Exp(%GSDP)'!M21</f>
        <v>119420</v>
      </c>
      <c r="G21" s="182">
        <f ca="1">+'NON Plan Exp(%GSDP)'!N21</f>
        <v>132872</v>
      </c>
      <c r="H21" s="18">
        <f ca="1">+'NON Plan Exp(%GSDP)'!O21</f>
        <v>153621</v>
      </c>
      <c r="I21" s="55">
        <f ca="1">+'NON Plan Exp(%GSDP)'!P21</f>
        <v>175961</v>
      </c>
      <c r="J21" s="81">
        <f ca="1">+'Per Capita Total Expenditure'!J21</f>
        <v>2.3600051645376707</v>
      </c>
      <c r="K21" s="81">
        <f ca="1">+'Per Capita Total Expenditure'!K21</f>
        <v>2.4100081489002609</v>
      </c>
      <c r="L21" s="81">
        <f ca="1">+'Per Capita Total Expenditure'!L21</f>
        <v>2.4500040731360064</v>
      </c>
      <c r="M21" s="81">
        <f ca="1">+'Per Capita Total Expenditure'!M21</f>
        <v>2.5000080165835423</v>
      </c>
      <c r="N21" s="81">
        <f ca="1">+'Per Capita Total Expenditure'!N21</f>
        <v>2.5499995506094</v>
      </c>
      <c r="O21" s="178">
        <f ca="1">+'Per Capita Total Expenditure'!O21</f>
        <v>2.5999966463365363</v>
      </c>
      <c r="P21" s="174">
        <f ca="1">+'Per Capita Total Expenditure'!P21</f>
        <v>2.6499933321582394</v>
      </c>
      <c r="Q21" s="73">
        <f t="shared" si="12"/>
        <v>34006.281514100883</v>
      </c>
      <c r="R21" s="73">
        <f t="shared" si="13"/>
        <v>40237.20834481428</v>
      </c>
      <c r="S21" s="73">
        <f t="shared" si="14"/>
        <v>40556.667268236022</v>
      </c>
      <c r="T21" s="73">
        <f t="shared" si="15"/>
        <v>47767.846826026114</v>
      </c>
      <c r="U21" s="73">
        <f t="shared" si="16"/>
        <v>52106.675849509935</v>
      </c>
      <c r="V21" s="73">
        <f t="shared" si="17"/>
        <v>59085.076212100517</v>
      </c>
      <c r="W21" s="18">
        <f t="shared" si="17"/>
        <v>66400.544433329473</v>
      </c>
    </row>
    <row r="22" spans="1:23" s="20" customFormat="1" ht="18.75" customHeight="1">
      <c r="A22" s="3">
        <v>15</v>
      </c>
      <c r="B22" s="6" t="s">
        <v>28</v>
      </c>
      <c r="C22" s="182">
        <f ca="1">+'NON Plan Exp(%GSDP)'!J22</f>
        <v>19565</v>
      </c>
      <c r="D22" s="182">
        <f ca="1">+'NON Plan Exp(%GSDP)'!K22</f>
        <v>25414</v>
      </c>
      <c r="E22" s="182">
        <f ca="1">+'NON Plan Exp(%GSDP)'!L22</f>
        <v>29126</v>
      </c>
      <c r="F22" s="182">
        <f ca="1">+'NON Plan Exp(%GSDP)'!M22</f>
        <v>33605</v>
      </c>
      <c r="G22" s="182">
        <f ca="1">+'NON Plan Exp(%GSDP)'!N22</f>
        <v>36025</v>
      </c>
      <c r="H22" s="18">
        <f ca="1">+'NON Plan Exp(%GSDP)'!O22</f>
        <v>34965</v>
      </c>
      <c r="I22" s="55">
        <f ca="1">+'NON Plan Exp(%GSDP)'!P22</f>
        <v>39302.375411462228</v>
      </c>
      <c r="J22" s="81">
        <f ca="1">+'Per Capita Total Expenditure'!J22</f>
        <v>0.15679555866746628</v>
      </c>
      <c r="K22" s="81">
        <f ca="1">+'Per Capita Total Expenditure'!K22</f>
        <v>0.162901478389751</v>
      </c>
      <c r="L22" s="81">
        <f ca="1">+'Per Capita Total Expenditure'!L22</f>
        <v>0.16910248918796544</v>
      </c>
      <c r="M22" s="81">
        <f ca="1">+'Per Capita Total Expenditure'!M22</f>
        <v>0.1748975140492266</v>
      </c>
      <c r="N22" s="81">
        <f ca="1">+'Per Capita Total Expenditure'!N22</f>
        <v>0.17990183284384029</v>
      </c>
      <c r="O22" s="178">
        <f ca="1">+'Per Capita Total Expenditure'!O22</f>
        <v>0.18469699885904853</v>
      </c>
      <c r="P22" s="174">
        <f ca="1">+'Per Capita Total Expenditure'!P22</f>
        <v>0.18961997689679111</v>
      </c>
      <c r="Q22" s="73">
        <f t="shared" si="12"/>
        <v>124780.32009499494</v>
      </c>
      <c r="R22" s="73">
        <f t="shared" si="13"/>
        <v>156008.40613119278</v>
      </c>
      <c r="S22" s="73">
        <f t="shared" si="14"/>
        <v>172238.74195976541</v>
      </c>
      <c r="T22" s="73">
        <f t="shared" si="15"/>
        <v>192141.09578791124</v>
      </c>
      <c r="U22" s="73">
        <f t="shared" si="16"/>
        <v>200248.09881326047</v>
      </c>
      <c r="V22" s="73">
        <f t="shared" si="17"/>
        <v>189310.06034745334</v>
      </c>
      <c r="W22" s="18">
        <f t="shared" si="17"/>
        <v>207269.17097376427</v>
      </c>
    </row>
    <row r="23" spans="1:23" ht="18.75" customHeight="1">
      <c r="A23" s="3">
        <v>16</v>
      </c>
      <c r="B23" s="6" t="s">
        <v>29</v>
      </c>
      <c r="C23" s="182">
        <f ca="1">+'NON Plan Exp(%GSDP)'!J23</f>
        <v>329285</v>
      </c>
      <c r="D23" s="182">
        <f ca="1">+'NON Plan Exp(%GSDP)'!K23</f>
        <v>367912</v>
      </c>
      <c r="E23" s="182">
        <f ca="1">+'NON Plan Exp(%GSDP)'!L23</f>
        <v>431262</v>
      </c>
      <c r="F23" s="182">
        <f ca="1">+'NON Plan Exp(%GSDP)'!M23</f>
        <v>521519</v>
      </c>
      <c r="G23" s="182">
        <f ca="1">+'NON Plan Exp(%GSDP)'!N23</f>
        <v>594563</v>
      </c>
      <c r="H23" s="18">
        <f ca="1">+'NON Plan Exp(%GSDP)'!O23</f>
        <v>670016</v>
      </c>
      <c r="I23" s="55">
        <f ca="1">+'NON Plan Exp(%GSDP)'!P23</f>
        <v>776933.66658041347</v>
      </c>
      <c r="J23" s="81">
        <f ca="1">+'Per Capita Total Expenditure'!J23</f>
        <v>5.6298000000000004</v>
      </c>
      <c r="K23" s="81">
        <f ca="1">+'Per Capita Total Expenditure'!K23</f>
        <v>5.7108999999999996</v>
      </c>
      <c r="L23" s="81">
        <f ca="1">+'Per Capita Total Expenditure'!L23</f>
        <v>5.7909999999999995</v>
      </c>
      <c r="M23" s="81">
        <f ca="1">+'Per Capita Total Expenditure'!M23</f>
        <v>5.8702021944076384</v>
      </c>
      <c r="N23" s="81">
        <f ca="1">+'Per Capita Total Expenditure'!N23</f>
        <v>5.948499647126325</v>
      </c>
      <c r="O23" s="178">
        <f ca="1">+'Per Capita Total Expenditure'!O23</f>
        <v>6.0259024144959765</v>
      </c>
      <c r="P23" s="174">
        <f ca="1">+'Per Capita Total Expenditure'!P23</f>
        <v>6.1043123582549512</v>
      </c>
      <c r="Q23" s="73">
        <f t="shared" si="12"/>
        <v>58489.644392340757</v>
      </c>
      <c r="R23" s="73">
        <f t="shared" si="13"/>
        <v>64422.770491516225</v>
      </c>
      <c r="S23" s="73">
        <f t="shared" si="14"/>
        <v>74471.075807287183</v>
      </c>
      <c r="T23" s="73">
        <f t="shared" si="15"/>
        <v>88841.743900548288</v>
      </c>
      <c r="U23" s="73">
        <f t="shared" si="16"/>
        <v>99951.758471941561</v>
      </c>
      <c r="V23" s="73">
        <f t="shared" si="17"/>
        <v>111189.32135180321</v>
      </c>
      <c r="W23" s="18">
        <f t="shared" si="17"/>
        <v>127276.19770796208</v>
      </c>
    </row>
    <row r="24" spans="1:23" ht="18.75" customHeight="1">
      <c r="A24" s="3">
        <v>17</v>
      </c>
      <c r="B24" s="6" t="s">
        <v>30</v>
      </c>
      <c r="C24" s="182">
        <f ca="1">+'NON Plan Exp(%GSDP)'!J24</f>
        <v>151596</v>
      </c>
      <c r="D24" s="182">
        <f ca="1">+'NON Plan Exp(%GSDP)'!K24</f>
        <v>182522</v>
      </c>
      <c r="E24" s="182">
        <f ca="1">+'NON Plan Exp(%GSDP)'!L24</f>
        <v>223600</v>
      </c>
      <c r="F24" s="182">
        <f ca="1">+'NON Plan Exp(%GSDP)'!M24</f>
        <v>260621</v>
      </c>
      <c r="G24" s="182">
        <f ca="1">+'NON Plan Exp(%GSDP)'!N24</f>
        <v>301959</v>
      </c>
      <c r="H24" s="18">
        <f ca="1">+'NON Plan Exp(%GSDP)'!O24</f>
        <v>345238</v>
      </c>
      <c r="I24" s="55">
        <f ca="1">+'NON Plan Exp(%GSDP)'!P24</f>
        <v>392894</v>
      </c>
      <c r="J24" s="81">
        <f ca="1">+'Per Capita Total Expenditure'!J24</f>
        <v>2.3997014055534507</v>
      </c>
      <c r="K24" s="81">
        <f ca="1">+'Per Capita Total Expenditure'!K24</f>
        <v>2.4424955492804443</v>
      </c>
      <c r="L24" s="81">
        <f ca="1">+'Per Capita Total Expenditure'!L24</f>
        <v>2.484900975164102</v>
      </c>
      <c r="M24" s="81">
        <f ca="1">+'Per Capita Total Expenditure'!M24</f>
        <v>2.5269968034683274</v>
      </c>
      <c r="N24" s="81">
        <f ca="1">+'Per Capita Total Expenditure'!N24</f>
        <v>2.5685961700388047</v>
      </c>
      <c r="O24" s="178">
        <f ca="1">+'Per Capita Total Expenditure'!O24</f>
        <v>2.6099005816267726</v>
      </c>
      <c r="P24" s="174">
        <f ca="1">+'Per Capita Total Expenditure'!P24</f>
        <v>2.6510010369823895</v>
      </c>
      <c r="Q24" s="73">
        <f t="shared" si="12"/>
        <v>63172.859610438463</v>
      </c>
      <c r="R24" s="73">
        <f t="shared" si="13"/>
        <v>74727.669433735806</v>
      </c>
      <c r="S24" s="73">
        <f t="shared" si="14"/>
        <v>89983.465029319137</v>
      </c>
      <c r="T24" s="73">
        <f t="shared" si="15"/>
        <v>103134.67735388315</v>
      </c>
      <c r="U24" s="73">
        <f t="shared" si="16"/>
        <v>117557.9888820897</v>
      </c>
      <c r="V24" s="73">
        <f t="shared" si="17"/>
        <v>132280.13451179443</v>
      </c>
      <c r="W24" s="18">
        <f t="shared" si="17"/>
        <v>148205.90204190477</v>
      </c>
    </row>
    <row r="25" spans="1:23" ht="18.75" customHeight="1">
      <c r="A25" s="3">
        <v>18</v>
      </c>
      <c r="B25" s="6" t="s">
        <v>31</v>
      </c>
      <c r="C25" s="182">
        <f ca="1">+'NON Plan Exp(%GSDP)'!J25</f>
        <v>83950</v>
      </c>
      <c r="D25" s="182">
        <f ca="1">+'NON Plan Exp(%GSDP)'!K25</f>
        <v>87794</v>
      </c>
      <c r="E25" s="182">
        <f ca="1">+'NON Plan Exp(%GSDP)'!L25</f>
        <v>100621</v>
      </c>
      <c r="F25" s="182">
        <f ca="1">+'NON Plan Exp(%GSDP)'!M25</f>
        <v>127281</v>
      </c>
      <c r="G25" s="182">
        <f ca="1">+'NON Plan Exp(%GSDP)'!N25</f>
        <v>143891</v>
      </c>
      <c r="H25" s="18">
        <f ca="1">+'NON Plan Exp(%GSDP)'!O25</f>
        <v>164876</v>
      </c>
      <c r="I25" s="55">
        <f ca="1">+'NON Plan Exp(%GSDP)'!P25</f>
        <v>189208</v>
      </c>
      <c r="J25" s="81">
        <f ca="1">+'Per Capita Total Expenditure'!J25</f>
        <v>3.0008471499455402</v>
      </c>
      <c r="K25" s="81">
        <f ca="1">+'Per Capita Total Expenditure'!K25</f>
        <v>3.0437594825521042</v>
      </c>
      <c r="L25" s="81">
        <f ca="1">+'Per Capita Total Expenditure'!L25</f>
        <v>3.0865606065974558</v>
      </c>
      <c r="M25" s="81">
        <f ca="1">+'Per Capita Total Expenditure'!M25</f>
        <v>3.1292877509288326</v>
      </c>
      <c r="N25" s="81">
        <f ca="1">+'Per Capita Total Expenditure'!N25</f>
        <v>3.1727296181630549</v>
      </c>
      <c r="O25" s="178">
        <f ca="1">+'Per Capita Total Expenditure'!O25</f>
        <v>3.2158928368713817</v>
      </c>
      <c r="P25" s="174">
        <f ca="1">+'Per Capita Total Expenditure'!P25</f>
        <v>3.2587730673316706</v>
      </c>
      <c r="Q25" s="73">
        <f t="shared" si="12"/>
        <v>27975.433537667366</v>
      </c>
      <c r="R25" s="73">
        <f t="shared" si="13"/>
        <v>28843.934779757063</v>
      </c>
      <c r="S25" s="73">
        <f t="shared" si="14"/>
        <v>32599.716261823862</v>
      </c>
      <c r="T25" s="73">
        <f t="shared" si="15"/>
        <v>40674.111852519971</v>
      </c>
      <c r="U25" s="73">
        <f t="shared" si="16"/>
        <v>45352.430656637523</v>
      </c>
      <c r="V25" s="73">
        <f t="shared" si="17"/>
        <v>51269.121318234444</v>
      </c>
      <c r="W25" s="18">
        <f t="shared" si="17"/>
        <v>58061.115668580809</v>
      </c>
    </row>
    <row r="26" spans="1:23" ht="18.75" customHeight="1">
      <c r="A26" s="3">
        <v>19</v>
      </c>
      <c r="B26" s="6" t="s">
        <v>32</v>
      </c>
      <c r="C26" s="182">
        <f ca="1">+'NON Plan Exp(%GSDP)'!J26</f>
        <v>270629</v>
      </c>
      <c r="D26" s="182">
        <f ca="1">+'NON Plan Exp(%GSDP)'!K26</f>
        <v>310312</v>
      </c>
      <c r="E26" s="182">
        <f ca="1">+'NON Plan Exp(%GSDP)'!L26</f>
        <v>337559</v>
      </c>
      <c r="F26" s="182">
        <f ca="1">+'NON Plan Exp(%GSDP)'!M26</f>
        <v>410703</v>
      </c>
      <c r="G26" s="182">
        <f ca="1">+'NON Plan Exp(%GSDP)'!N26</f>
        <v>458894</v>
      </c>
      <c r="H26" s="18">
        <f ca="1">+'NON Plan Exp(%GSDP)'!O26</f>
        <v>524502</v>
      </c>
      <c r="I26" s="55">
        <f ca="1">+'NON Plan Exp(%GSDP)'!P26</f>
        <v>593811</v>
      </c>
      <c r="J26" s="81">
        <f ca="1">+'Per Capita Total Expenditure'!J26</f>
        <v>5.7291905302781014</v>
      </c>
      <c r="K26" s="81">
        <f ca="1">+'Per Capita Total Expenditure'!K26</f>
        <v>5.7926970774320905</v>
      </c>
      <c r="L26" s="81">
        <f ca="1">+'Per Capita Total Expenditure'!L26</f>
        <v>5.8551917871433741</v>
      </c>
      <c r="M26" s="81">
        <f ca="1">+'Per Capita Total Expenditure'!M26</f>
        <v>5.916993574387031</v>
      </c>
      <c r="N26" s="81">
        <f ca="1">+'Per Capita Total Expenditure'!N26</f>
        <v>5.9780004397086586</v>
      </c>
      <c r="O26" s="178">
        <f ca="1">+'Per Capita Total Expenditure'!O26</f>
        <v>6.0381984477971473</v>
      </c>
      <c r="P26" s="174">
        <f ca="1">+'Per Capita Total Expenditure'!P26</f>
        <v>6.0975055307113211</v>
      </c>
      <c r="Q26" s="73">
        <f t="shared" si="12"/>
        <v>47236.865063180812</v>
      </c>
      <c r="R26" s="73">
        <f t="shared" si="13"/>
        <v>53569.51966450172</v>
      </c>
      <c r="S26" s="73">
        <f t="shared" si="14"/>
        <v>57651.228562862838</v>
      </c>
      <c r="T26" s="73">
        <f t="shared" si="15"/>
        <v>69410.756465549595</v>
      </c>
      <c r="U26" s="73">
        <f t="shared" si="16"/>
        <v>76763.794955887366</v>
      </c>
      <c r="V26" s="73">
        <f t="shared" si="17"/>
        <v>86863.988412197446</v>
      </c>
      <c r="W26" s="18">
        <f t="shared" si="17"/>
        <v>97385.889526323619</v>
      </c>
    </row>
    <row r="27" spans="1:23" ht="18.75" customHeight="1">
      <c r="A27" s="3">
        <v>20</v>
      </c>
      <c r="B27" s="6" t="s">
        <v>33</v>
      </c>
      <c r="C27" s="182">
        <f ca="1">+'NON Plan Exp(%GSDP)'!J27</f>
        <v>175141</v>
      </c>
      <c r="D27" s="182">
        <f ca="1">+'NON Plan Exp(%GSDP)'!K27</f>
        <v>202783</v>
      </c>
      <c r="E27" s="182">
        <f ca="1">+'NON Plan Exp(%GSDP)'!L27</f>
        <v>231999</v>
      </c>
      <c r="F27" s="182">
        <f ca="1">+'NON Plan Exp(%GSDP)'!M27</f>
        <v>263773</v>
      </c>
      <c r="G27" s="182">
        <f ca="1">+'NON Plan Exp(%GSDP)'!N27</f>
        <v>307906</v>
      </c>
      <c r="H27" s="18">
        <f ca="1">+'NON Plan Exp(%GSDP)'!O27</f>
        <v>349338</v>
      </c>
      <c r="I27" s="55">
        <f ca="1">+'NON Plan Exp(%GSDP)'!P27</f>
        <v>401072.42420974676</v>
      </c>
      <c r="J27" s="81">
        <f ca="1">+'Per Capita Total Expenditure'!J27</f>
        <v>3.3693873085339168</v>
      </c>
      <c r="K27" s="81">
        <f ca="1">+'Per Capita Total Expenditure'!K27</f>
        <v>3.395807412434491</v>
      </c>
      <c r="L27" s="81">
        <f ca="1">+'Per Capita Total Expenditure'!L27</f>
        <v>3.4216119284030153</v>
      </c>
      <c r="M27" s="81">
        <f ca="1">+'Per Capita Total Expenditure'!M27</f>
        <v>3.4467125879500977</v>
      </c>
      <c r="N27" s="81">
        <f ca="1">+'Per Capita Total Expenditure'!N27</f>
        <v>3.4707923507724496</v>
      </c>
      <c r="O27" s="178">
        <f ca="1">+'Per Capita Total Expenditure'!O27</f>
        <v>3.4942108057428807</v>
      </c>
      <c r="P27" s="174">
        <f ca="1">+'Per Capita Total Expenditure'!P27</f>
        <v>3.517787271904353</v>
      </c>
      <c r="Q27" s="73">
        <f t="shared" si="12"/>
        <v>51980.073515563607</v>
      </c>
      <c r="R27" s="73">
        <f t="shared" si="13"/>
        <v>59715.695082549653</v>
      </c>
      <c r="S27" s="73">
        <f t="shared" si="14"/>
        <v>67804.007249963601</v>
      </c>
      <c r="T27" s="73">
        <f t="shared" si="15"/>
        <v>76528.864321952846</v>
      </c>
      <c r="U27" s="73">
        <f t="shared" si="16"/>
        <v>88713.460467167766</v>
      </c>
      <c r="V27" s="73">
        <f t="shared" si="17"/>
        <v>99976.223365186917</v>
      </c>
      <c r="W27" s="18">
        <f t="shared" si="17"/>
        <v>114012.69980507558</v>
      </c>
    </row>
    <row r="28" spans="1:23" ht="18.75" customHeight="1">
      <c r="A28" s="3">
        <v>21</v>
      </c>
      <c r="B28" s="6" t="s">
        <v>34</v>
      </c>
      <c r="C28" s="182">
        <f ca="1">+'NON Plan Exp(%GSDP)'!J28</f>
        <v>161479</v>
      </c>
      <c r="D28" s="182">
        <f ca="1">+'NON Plan Exp(%GSDP)'!K28</f>
        <v>197276</v>
      </c>
      <c r="E28" s="182">
        <f ca="1">+'NON Plan Exp(%GSDP)'!L28</f>
        <v>227557</v>
      </c>
      <c r="F28" s="182">
        <f ca="1">+'NON Plan Exp(%GSDP)'!M28</f>
        <v>263396</v>
      </c>
      <c r="G28" s="182">
        <f ca="1">+'NON Plan Exp(%GSDP)'!N28</f>
        <v>311670</v>
      </c>
      <c r="H28" s="18">
        <f ca="1">+'NON Plan Exp(%GSDP)'!O28</f>
        <v>372171</v>
      </c>
      <c r="I28" s="55">
        <f ca="1">+'NON Plan Exp(%GSDP)'!P28</f>
        <v>450900</v>
      </c>
      <c r="J28" s="81">
        <f ca="1">+'Per Capita Total Expenditure'!J28</f>
        <v>6.8266128968945763</v>
      </c>
      <c r="K28" s="81">
        <f ca="1">+'Per Capita Total Expenditure'!K28</f>
        <v>6.9428011867833348</v>
      </c>
      <c r="L28" s="81">
        <f ca="1">+'Per Capita Total Expenditure'!L28</f>
        <v>7.0582157062532715</v>
      </c>
      <c r="M28" s="81">
        <f ca="1">+'Per Capita Total Expenditure'!M28</f>
        <v>7.1731963023808341</v>
      </c>
      <c r="N28" s="81">
        <f ca="1">+'Per Capita Total Expenditure'!N28</f>
        <v>7.2879092155693517</v>
      </c>
      <c r="O28" s="178">
        <f ca="1">+'Per Capita Total Expenditure'!O28</f>
        <v>7.4019975549691264</v>
      </c>
      <c r="P28" s="174">
        <f ca="1">+'Per Capita Total Expenditure'!P28</f>
        <v>7.5153033314565754</v>
      </c>
      <c r="Q28" s="73">
        <f t="shared" si="12"/>
        <v>23654.336702386732</v>
      </c>
      <c r="R28" s="73">
        <f t="shared" si="13"/>
        <v>28414.467690007386</v>
      </c>
      <c r="S28" s="73">
        <f t="shared" si="14"/>
        <v>32240.017799171881</v>
      </c>
      <c r="T28" s="73">
        <f t="shared" si="15"/>
        <v>36719.474680007996</v>
      </c>
      <c r="U28" s="73">
        <f t="shared" si="16"/>
        <v>42765.351595512635</v>
      </c>
      <c r="V28" s="73">
        <f t="shared" si="17"/>
        <v>50279.805854590333</v>
      </c>
      <c r="W28" s="18">
        <f t="shared" si="17"/>
        <v>59997.578289712095</v>
      </c>
    </row>
    <row r="29" spans="1:23" ht="18.75" customHeight="1">
      <c r="A29" s="3">
        <v>22</v>
      </c>
      <c r="B29" s="6" t="s">
        <v>35</v>
      </c>
      <c r="C29" s="182">
        <f ca="1">+'NON Plan Exp(%GSDP)'!J29</f>
        <v>684817</v>
      </c>
      <c r="D29" s="182">
        <f ca="1">+'NON Plan Exp(%GSDP)'!K29</f>
        <v>753969</v>
      </c>
      <c r="E29" s="182">
        <f ca="1">+'NON Plan Exp(%GSDP)'!L29</f>
        <v>855751</v>
      </c>
      <c r="F29" s="182">
        <f ca="1">+'NON Plan Exp(%GSDP)'!M29</f>
        <v>1035086</v>
      </c>
      <c r="G29" s="182">
        <f ca="1">+'NON Plan Exp(%GSDP)'!N29</f>
        <v>1199548</v>
      </c>
      <c r="H29" s="18">
        <f ca="1">+'NON Plan Exp(%GSDP)'!O29</f>
        <v>1372644</v>
      </c>
      <c r="I29" s="55">
        <f ca="1">+'NON Plan Exp(%GSDP)'!P29</f>
        <v>1586151.7193253073</v>
      </c>
      <c r="J29" s="81">
        <f ca="1">+'Per Capita Total Expenditure'!J29</f>
        <v>10.732108427199309</v>
      </c>
      <c r="K29" s="81">
        <f ca="1">+'Per Capita Total Expenditure'!K29</f>
        <v>10.890798129321896</v>
      </c>
      <c r="L29" s="81">
        <f ca="1">+'Per Capita Total Expenditure'!L29</f>
        <v>11.048501961686675</v>
      </c>
      <c r="M29" s="81">
        <f ca="1">+'Per Capita Total Expenditure'!M29</f>
        <v>11.204198889427518</v>
      </c>
      <c r="N29" s="81">
        <f ca="1">+'Per Capita Total Expenditure'!N29</f>
        <v>11.35689657622429</v>
      </c>
      <c r="O29" s="178">
        <f ca="1">+'Per Capita Total Expenditure'!O29</f>
        <v>11.508302108591584</v>
      </c>
      <c r="P29" s="174">
        <f ca="1">+'Per Capita Total Expenditure'!P29</f>
        <v>11.661726118020598</v>
      </c>
      <c r="Q29" s="73">
        <f t="shared" si="12"/>
        <v>63810.108204312317</v>
      </c>
      <c r="R29" s="73">
        <f t="shared" si="13"/>
        <v>69229.912357850772</v>
      </c>
      <c r="S29" s="73">
        <f t="shared" si="14"/>
        <v>77454.02978317978</v>
      </c>
      <c r="T29" s="73">
        <f t="shared" si="15"/>
        <v>92383.758108464637</v>
      </c>
      <c r="U29" s="73">
        <f t="shared" si="16"/>
        <v>105622.86906013203</v>
      </c>
      <c r="V29" s="73">
        <f t="shared" si="17"/>
        <v>119274.24106943155</v>
      </c>
      <c r="W29" s="18">
        <f t="shared" si="17"/>
        <v>136013.46003781236</v>
      </c>
    </row>
    <row r="30" spans="1:23" ht="18.75" customHeight="1">
      <c r="A30" s="3">
        <v>23</v>
      </c>
      <c r="B30" s="6" t="s">
        <v>74</v>
      </c>
      <c r="C30" s="182">
        <f ca="1">+'NON Plan Exp(%GSDP)'!J30</f>
        <v>129274</v>
      </c>
      <c r="D30" s="182">
        <f ca="1">+'NON Plan Exp(%GSDP)'!K30</f>
        <v>148491</v>
      </c>
      <c r="E30" s="182">
        <f ca="1">+'NON Plan Exp(%GSDP)'!L30</f>
        <v>162946</v>
      </c>
      <c r="F30" s="182">
        <f ca="1">+'NON Plan Exp(%GSDP)'!M30</f>
        <v>197530</v>
      </c>
      <c r="G30" s="182">
        <f ca="1">+'NON Plan Exp(%GSDP)'!N30</f>
        <v>214583</v>
      </c>
      <c r="H30" s="18">
        <f ca="1">+'NON Plan Exp(%GSDP)'!O30</f>
        <v>255459</v>
      </c>
      <c r="I30" s="55">
        <f ca="1">+'NON Plan Exp(%GSDP)'!P30</f>
        <v>288414</v>
      </c>
      <c r="J30" s="81">
        <f ca="1">+'Per Capita Total Expenditure'!J30</f>
        <v>4.0060909452076574</v>
      </c>
      <c r="K30" s="81">
        <f ca="1">+'Per Capita Total Expenditure'!K30</f>
        <v>4.0589937491258592</v>
      </c>
      <c r="L30" s="81">
        <f ca="1">+'Per Capita Total Expenditure'!L30</f>
        <v>4.1127064807914966</v>
      </c>
      <c r="M30" s="81">
        <f ca="1">+'Per Capita Total Expenditure'!M30</f>
        <v>4.1671904808928506</v>
      </c>
      <c r="N30" s="81">
        <f ca="1">+'Per Capita Total Expenditure'!N30</f>
        <v>4.2225047452348843</v>
      </c>
      <c r="O30" s="178">
        <f ca="1">+'Per Capita Total Expenditure'!O30</f>
        <v>4.2786072829813833</v>
      </c>
      <c r="P30" s="174">
        <f ca="1">+'Per Capita Total Expenditure'!P30</f>
        <v>4.3356013032884713</v>
      </c>
      <c r="Q30" s="73">
        <f t="shared" si="12"/>
        <v>32269.362270630885</v>
      </c>
      <c r="R30" s="73">
        <f t="shared" si="13"/>
        <v>36583.204897021307</v>
      </c>
      <c r="S30" s="73">
        <f t="shared" si="14"/>
        <v>39620.138407893573</v>
      </c>
      <c r="T30" s="73">
        <f t="shared" si="15"/>
        <v>47401.24093335848</v>
      </c>
      <c r="U30" s="73">
        <f t="shared" si="16"/>
        <v>50818.889011825951</v>
      </c>
      <c r="V30" s="73">
        <f t="shared" si="17"/>
        <v>59706.110681416219</v>
      </c>
      <c r="W30" s="18">
        <f t="shared" si="17"/>
        <v>66522.260656496132</v>
      </c>
    </row>
    <row r="31" spans="1:23" s="20" customFormat="1" ht="18.75" customHeight="1">
      <c r="A31" s="3">
        <v>24</v>
      </c>
      <c r="B31" s="6" t="s">
        <v>36</v>
      </c>
      <c r="C31" s="182">
        <f ca="1">+'NON Plan Exp(%GSDP)'!J31</f>
        <v>152245</v>
      </c>
      <c r="D31" s="182">
        <f ca="1">+'NON Plan Exp(%GSDP)'!K31</f>
        <v>174039</v>
      </c>
      <c r="E31" s="182">
        <f ca="1">+'NON Plan Exp(%GSDP)'!L31</f>
        <v>197500</v>
      </c>
      <c r="F31" s="182">
        <f ca="1">+'NON Plan Exp(%GSDP)'!M31</f>
        <v>226204</v>
      </c>
      <c r="G31" s="182">
        <f ca="1">+'NON Plan Exp(%GSDP)'!N31</f>
        <v>256430</v>
      </c>
      <c r="H31" s="18">
        <f ca="1">+'NON Plan Exp(%GSDP)'!O31</f>
        <v>286809</v>
      </c>
      <c r="I31" s="55">
        <f ca="1">+'NON Plan Exp(%GSDP)'!P31</f>
        <v>319117</v>
      </c>
      <c r="J31" s="81">
        <f ca="1">+'Per Capita Total Expenditure'!J31</f>
        <v>2.7481976508707979</v>
      </c>
      <c r="K31" s="81">
        <f ca="1">+'Per Capita Total Expenditure'!K31</f>
        <v>2.7990056946578687</v>
      </c>
      <c r="L31" s="81">
        <f ca="1">+'Per Capita Total Expenditure'!L31</f>
        <v>2.8506916916107112</v>
      </c>
      <c r="M31" s="81">
        <f ca="1">+'Per Capita Total Expenditure'!M31</f>
        <v>2.9034089275962174</v>
      </c>
      <c r="N31" s="81">
        <f ca="1">+'Per Capita Total Expenditure'!N31</f>
        <v>2.9570854803507549</v>
      </c>
      <c r="O31" s="178">
        <f ca="1">+'Per Capita Total Expenditure'!O31</f>
        <v>2.9796181450769983</v>
      </c>
      <c r="P31" s="174">
        <f ca="1">+'Per Capita Total Expenditure'!P31</f>
        <v>3.0346866669487582</v>
      </c>
      <c r="Q31" s="73">
        <f t="shared" si="12"/>
        <v>55398.126096119551</v>
      </c>
      <c r="R31" s="73">
        <f t="shared" si="13"/>
        <v>62178.865992365667</v>
      </c>
      <c r="S31" s="73">
        <f t="shared" si="14"/>
        <v>69281.431093099949</v>
      </c>
      <c r="T31" s="73">
        <f t="shared" si="15"/>
        <v>77909.796945922542</v>
      </c>
      <c r="U31" s="73">
        <f t="shared" si="16"/>
        <v>86717.141490811264</v>
      </c>
      <c r="V31" s="73">
        <f t="shared" si="17"/>
        <v>96256.965166450347</v>
      </c>
      <c r="W31" s="18">
        <f t="shared" si="17"/>
        <v>105156.49061089325</v>
      </c>
    </row>
    <row r="32" spans="1:23" ht="18.75" customHeight="1">
      <c r="A32" s="3">
        <v>25</v>
      </c>
      <c r="B32" s="6" t="s">
        <v>37</v>
      </c>
      <c r="C32" s="182">
        <f ca="1">+'NON Plan Exp(%GSDP)'!J32</f>
        <v>194822</v>
      </c>
      <c r="D32" s="182">
        <f ca="1">+'NON Plan Exp(%GSDP)'!K32</f>
        <v>230949</v>
      </c>
      <c r="E32" s="182">
        <f ca="1">+'NON Plan Exp(%GSDP)'!L32</f>
        <v>265825</v>
      </c>
      <c r="F32" s="182">
        <f ca="1">+'NON Plan Exp(%GSDP)'!M32</f>
        <v>338348</v>
      </c>
      <c r="G32" s="182">
        <f ca="1">+'NON Plan Exp(%GSDP)'!N32</f>
        <v>403422</v>
      </c>
      <c r="H32" s="18">
        <f ca="1">+'NON Plan Exp(%GSDP)'!O32</f>
        <v>459215</v>
      </c>
      <c r="I32" s="55">
        <f ca="1">+'NON Plan Exp(%GSDP)'!P32</f>
        <v>513688</v>
      </c>
      <c r="J32" s="81">
        <f ca="1">+'Per Capita Total Expenditure'!J32</f>
        <v>6.4077130200264554</v>
      </c>
      <c r="K32" s="81">
        <f ca="1">+'Per Capita Total Expenditure'!K32</f>
        <v>6.5200128898541463</v>
      </c>
      <c r="L32" s="81">
        <f ca="1">+'Per Capita Total Expenditure'!L32</f>
        <v>6.6310102684541343</v>
      </c>
      <c r="M32" s="81">
        <f ca="1">+'Per Capita Total Expenditure'!M32</f>
        <v>6.7401098646571338</v>
      </c>
      <c r="N32" s="81">
        <f ca="1">+'Per Capita Total Expenditure'!N32</f>
        <v>6.8468084212054663</v>
      </c>
      <c r="O32" s="178">
        <f ca="1">+'Per Capita Total Expenditure'!O32</f>
        <v>6.9519011597612277</v>
      </c>
      <c r="P32" s="174">
        <f ca="1">+'Per Capita Total Expenditure'!P32</f>
        <v>7.055898520704841</v>
      </c>
      <c r="Q32" s="73">
        <f t="shared" si="12"/>
        <v>30404.295478138571</v>
      </c>
      <c r="R32" s="73">
        <f t="shared" si="13"/>
        <v>35421.55573946517</v>
      </c>
      <c r="S32" s="73">
        <f t="shared" si="14"/>
        <v>40088.159908998437</v>
      </c>
      <c r="T32" s="73">
        <f t="shared" si="15"/>
        <v>50199.181733547543</v>
      </c>
      <c r="U32" s="73">
        <f t="shared" si="16"/>
        <v>58921.175412262011</v>
      </c>
      <c r="V32" s="73">
        <f t="shared" si="17"/>
        <v>66056.031213161317</v>
      </c>
      <c r="W32" s="18">
        <f t="shared" si="17"/>
        <v>72802.634348075313</v>
      </c>
    </row>
    <row r="33" spans="1:23" ht="18.75" customHeight="1">
      <c r="A33" s="3">
        <v>26</v>
      </c>
      <c r="B33" s="6" t="s">
        <v>38</v>
      </c>
      <c r="C33" s="182">
        <f ca="1">+'NON Plan Exp(%GSDP)'!J33</f>
        <v>350819</v>
      </c>
      <c r="D33" s="182">
        <f ca="1">+'NON Plan Exp(%GSDP)'!K33</f>
        <v>401336</v>
      </c>
      <c r="E33" s="182">
        <f ca="1">+'NON Plan Exp(%GSDP)'!L33</f>
        <v>479733</v>
      </c>
      <c r="F33" s="182">
        <f ca="1">+'NON Plan Exp(%GSDP)'!M33</f>
        <v>584896</v>
      </c>
      <c r="G33" s="182">
        <f ca="1">+'NON Plan Exp(%GSDP)'!N33</f>
        <v>665312</v>
      </c>
      <c r="H33" s="18">
        <f ca="1">+'NON Plan Exp(%GSDP)'!O33</f>
        <v>744474</v>
      </c>
      <c r="I33" s="55">
        <f ca="1">+'NON Plan Exp(%GSDP)'!P33</f>
        <v>850319</v>
      </c>
      <c r="J33" s="81">
        <f ca="1">+'Per Capita Total Expenditure'!J33</f>
        <v>6.5918957988249023</v>
      </c>
      <c r="K33" s="81">
        <f ca="1">+'Per Capita Total Expenditure'!K33</f>
        <v>6.6386001847180429</v>
      </c>
      <c r="L33" s="81">
        <f ca="1">+'Per Capita Total Expenditure'!L33</f>
        <v>6.6836068388328007</v>
      </c>
      <c r="M33" s="81">
        <f ca="1">+'Per Capita Total Expenditure'!M33</f>
        <v>6.7272975787886233</v>
      </c>
      <c r="N33" s="81">
        <f ca="1">+'Per Capita Total Expenditure'!N33</f>
        <v>6.7698051233022598</v>
      </c>
      <c r="O33" s="178">
        <f ca="1">+'Per Capita Total Expenditure'!O33</f>
        <v>6.810704266335974</v>
      </c>
      <c r="P33" s="174">
        <f ca="1">+'Per Capita Total Expenditure'!P33</f>
        <v>6.8500770045668604</v>
      </c>
      <c r="Q33" s="73">
        <f t="shared" si="12"/>
        <v>53219.742955059817</v>
      </c>
      <c r="R33" s="73">
        <f t="shared" si="13"/>
        <v>60454.913510813531</v>
      </c>
      <c r="S33" s="73">
        <f t="shared" si="14"/>
        <v>71777.561362927008</v>
      </c>
      <c r="T33" s="73">
        <f t="shared" si="15"/>
        <v>86943.678817508408</v>
      </c>
      <c r="U33" s="73">
        <f t="shared" si="16"/>
        <v>98276.388741226547</v>
      </c>
      <c r="V33" s="73">
        <f t="shared" si="17"/>
        <v>109309.40045066917</v>
      </c>
      <c r="W33" s="18">
        <f t="shared" si="17"/>
        <v>124132.76514017332</v>
      </c>
    </row>
    <row r="34" spans="1:23" ht="18.75" customHeight="1">
      <c r="A34" s="3">
        <v>27</v>
      </c>
      <c r="B34" s="6" t="s">
        <v>39</v>
      </c>
      <c r="C34" s="182">
        <f ca="1">+'NON Plan Exp(%GSDP)'!J34</f>
        <v>383026</v>
      </c>
      <c r="D34" s="182">
        <f ca="1">+'NON Plan Exp(%GSDP)'!K34</f>
        <v>444685</v>
      </c>
      <c r="E34" s="182">
        <f ca="1">+'NON Plan Exp(%GSDP)'!L34</f>
        <v>523394</v>
      </c>
      <c r="F34" s="182">
        <f ca="1">+'NON Plan Exp(%GSDP)'!M34</f>
        <v>600164</v>
      </c>
      <c r="G34" s="182">
        <f ca="1">+'NON Plan Exp(%GSDP)'!N34</f>
        <v>679007</v>
      </c>
      <c r="H34" s="18">
        <f ca="1">+'NON Plan Exp(%GSDP)'!O34</f>
        <v>768930</v>
      </c>
      <c r="I34" s="55">
        <f ca="1">+'NON Plan Exp(%GSDP)'!P34</f>
        <v>886410</v>
      </c>
      <c r="J34" s="81">
        <f ca="1">+'Per Capita Total Expenditure'!J34</f>
        <v>18.881224177143011</v>
      </c>
      <c r="K34" s="81">
        <f ca="1">+'Per Capita Total Expenditure'!K34</f>
        <v>19.232480903204277</v>
      </c>
      <c r="L34" s="81">
        <f ca="1">+'Per Capita Total Expenditure'!L34</f>
        <v>19.584080567283397</v>
      </c>
      <c r="M34" s="81">
        <f ca="1">+'Per Capita Total Expenditure'!M34</f>
        <v>19.934689884595507</v>
      </c>
      <c r="N34" s="81">
        <f ca="1">+'Per Capita Total Expenditure'!N34</f>
        <v>20.282994292485906</v>
      </c>
      <c r="O34" s="178">
        <f ca="1">+'Per Capita Total Expenditure'!O34</f>
        <v>20.631198792881232</v>
      </c>
      <c r="P34" s="174">
        <f ca="1">+'Per Capita Total Expenditure'!P34</f>
        <v>20.980204789873504</v>
      </c>
      <c r="Q34" s="73">
        <f t="shared" si="12"/>
        <v>20286.078720662546</v>
      </c>
      <c r="R34" s="73">
        <f t="shared" si="13"/>
        <v>23121.562019901037</v>
      </c>
      <c r="S34" s="73">
        <f t="shared" si="14"/>
        <v>26725.482373390914</v>
      </c>
      <c r="T34" s="73">
        <f t="shared" si="15"/>
        <v>30106.512991896383</v>
      </c>
      <c r="U34" s="73">
        <f t="shared" si="16"/>
        <v>33476.664747253162</v>
      </c>
      <c r="V34" s="73">
        <f t="shared" si="17"/>
        <v>37270.253062818541</v>
      </c>
      <c r="W34" s="18">
        <f t="shared" si="17"/>
        <v>42249.825913417335</v>
      </c>
    </row>
    <row r="35" spans="1:23" ht="18.75" customHeight="1">
      <c r="A35" s="3">
        <v>28</v>
      </c>
      <c r="B35" s="6" t="s">
        <v>40</v>
      </c>
      <c r="C35" s="182">
        <f ca="1">+'NON Plan Exp(%GSDP)'!J35</f>
        <v>299483</v>
      </c>
      <c r="D35" s="182">
        <f ca="1">+'NON Plan Exp(%GSDP)'!K35</f>
        <v>341942</v>
      </c>
      <c r="E35" s="182">
        <f ca="1">+'NON Plan Exp(%GSDP)'!L35</f>
        <v>398880</v>
      </c>
      <c r="F35" s="182">
        <f ca="1">+'NON Plan Exp(%GSDP)'!M35</f>
        <v>460959</v>
      </c>
      <c r="G35" s="182">
        <f ca="1">+'NON Plan Exp(%GSDP)'!N35</f>
        <v>538209</v>
      </c>
      <c r="H35" s="18">
        <f ca="1">+'NON Plan Exp(%GSDP)'!O35</f>
        <v>620160</v>
      </c>
      <c r="I35" s="55">
        <f ca="1">+'NON Plan Exp(%GSDP)'!P35</f>
        <v>707848</v>
      </c>
      <c r="J35" s="81">
        <f ca="1">+'Per Capita Total Expenditure'!J35</f>
        <v>8.6659169385750943</v>
      </c>
      <c r="K35" s="81">
        <f ca="1">+'Per Capita Total Expenditure'!K35</f>
        <v>8.7505283624989438</v>
      </c>
      <c r="L35" s="81">
        <f ca="1">+'Per Capita Total Expenditure'!L35</f>
        <v>8.8334754745485995</v>
      </c>
      <c r="M35" s="81">
        <f ca="1">+'Per Capita Total Expenditure'!M35</f>
        <v>8.9158852788654883</v>
      </c>
      <c r="N35" s="81">
        <f ca="1">+'Per Capita Total Expenditure'!N35</f>
        <v>8.9987206199510172</v>
      </c>
      <c r="O35" s="178">
        <f ca="1">+'Per Capita Total Expenditure'!O35</f>
        <v>9.0801964517109539</v>
      </c>
      <c r="P35" s="174">
        <f ca="1">+'Per Capita Total Expenditure'!P35</f>
        <v>9.1594420448913123</v>
      </c>
      <c r="Q35" s="73">
        <f t="shared" si="12"/>
        <v>34558.720343475034</v>
      </c>
      <c r="R35" s="73">
        <f t="shared" si="13"/>
        <v>39076.726094097183</v>
      </c>
      <c r="S35" s="73">
        <f t="shared" si="14"/>
        <v>45155.499797250894</v>
      </c>
      <c r="T35" s="73">
        <f t="shared" si="15"/>
        <v>51700.867113294131</v>
      </c>
      <c r="U35" s="73">
        <f t="shared" si="16"/>
        <v>59809.502120416939</v>
      </c>
      <c r="V35" s="73">
        <f t="shared" si="17"/>
        <v>68298.081797904844</v>
      </c>
      <c r="W35" s="18">
        <f t="shared" si="17"/>
        <v>77280.68986416077</v>
      </c>
    </row>
    <row r="36" spans="1:23" s="75" customFormat="1" ht="18.75" customHeight="1">
      <c r="A36" s="72"/>
      <c r="B36" s="4" t="s">
        <v>190</v>
      </c>
      <c r="C36" s="183">
        <f t="shared" ref="C36:O36" si="18">SUM(C19:C35)</f>
        <v>3944879</v>
      </c>
      <c r="D36" s="183">
        <f t="shared" si="18"/>
        <v>4535440</v>
      </c>
      <c r="E36" s="183">
        <f t="shared" si="18"/>
        <v>5204876</v>
      </c>
      <c r="F36" s="183">
        <f t="shared" si="18"/>
        <v>6231556</v>
      </c>
      <c r="G36" s="183">
        <f t="shared" si="18"/>
        <v>7154201</v>
      </c>
      <c r="H36" s="183">
        <f t="shared" si="18"/>
        <v>8190822</v>
      </c>
      <c r="I36" s="242">
        <f ca="1">SUM(I19:I35)</f>
        <v>9397731.1855269298</v>
      </c>
      <c r="J36" s="82">
        <f t="shared" si="18"/>
        <v>105.01751907192455</v>
      </c>
      <c r="K36" s="82">
        <f t="shared" si="18"/>
        <v>106.52470671263519</v>
      </c>
      <c r="L36" s="87">
        <f t="shared" si="18"/>
        <v>108.01033818172476</v>
      </c>
      <c r="M36" s="87">
        <f t="shared" si="18"/>
        <v>109.49270544510455</v>
      </c>
      <c r="N36" s="87">
        <f t="shared" si="18"/>
        <v>110.96051523909952</v>
      </c>
      <c r="O36" s="175">
        <f t="shared" si="18"/>
        <v>112.38358865312418</v>
      </c>
      <c r="P36" s="175">
        <f ca="1">SUM(P19:P35)</f>
        <v>113.83182197625416</v>
      </c>
      <c r="Q36" s="74">
        <f t="shared" si="12"/>
        <v>37564.008699331636</v>
      </c>
      <c r="R36" s="74">
        <f t="shared" si="13"/>
        <v>42576.413866456001</v>
      </c>
      <c r="S36" s="74">
        <f>+E36/L36</f>
        <v>48188.683487342874</v>
      </c>
      <c r="T36" s="74">
        <f t="shared" si="15"/>
        <v>56912.978583073404</v>
      </c>
      <c r="U36" s="74">
        <f t="shared" si="16"/>
        <v>64475.19628566983</v>
      </c>
      <c r="V36" s="74">
        <f>+H36/O36</f>
        <v>72882.723342117635</v>
      </c>
      <c r="W36" s="66">
        <f>+I36/P36</f>
        <v>82558.031861137555</v>
      </c>
    </row>
    <row r="37" spans="1:23" ht="18.75" customHeight="1">
      <c r="A37" s="3"/>
      <c r="B37" s="4" t="s">
        <v>42</v>
      </c>
      <c r="C37" s="183"/>
      <c r="D37" s="183"/>
      <c r="E37" s="183"/>
      <c r="F37" s="183"/>
      <c r="G37" s="183"/>
      <c r="H37" s="183"/>
      <c r="I37" s="242"/>
      <c r="J37" s="82"/>
      <c r="K37" s="82"/>
      <c r="L37" s="87"/>
      <c r="M37" s="87"/>
      <c r="N37" s="87"/>
      <c r="O37" s="175"/>
      <c r="P37" s="175"/>
      <c r="Q37" s="73"/>
      <c r="R37" s="73"/>
      <c r="S37" s="73"/>
      <c r="T37" s="73"/>
      <c r="U37" s="73"/>
      <c r="V37" s="73"/>
      <c r="W37" s="18"/>
    </row>
    <row r="38" spans="1:23" ht="18.75" customHeight="1">
      <c r="A38" s="3">
        <v>29</v>
      </c>
      <c r="B38" s="6" t="s">
        <v>43</v>
      </c>
      <c r="C38" s="182">
        <f ca="1">+'NON Plan Exp(%GSDP)'!J38</f>
        <v>157947</v>
      </c>
      <c r="D38" s="182">
        <f ca="1">+'NON Plan Exp(%GSDP)'!K38</f>
        <v>189533</v>
      </c>
      <c r="E38" s="182">
        <f ca="1">+'NON Plan Exp(%GSDP)'!L38</f>
        <v>217619</v>
      </c>
      <c r="F38" s="182">
        <f ca="1">+'NON Plan Exp(%GSDP)'!M38</f>
        <v>252753</v>
      </c>
      <c r="G38" s="182">
        <f ca="1">+'NON Plan Exp(%GSDP)'!N38</f>
        <v>296957</v>
      </c>
      <c r="H38" s="182">
        <f ca="1">+'NON Plan Exp(%GSDP)'!O38</f>
        <v>348221</v>
      </c>
      <c r="I38" s="55">
        <f ca="1">+'NON Plan Exp(%GSDP)'!P38</f>
        <v>404576</v>
      </c>
      <c r="J38" s="81">
        <f ca="1">+'Per Capita Total Expenditure'!J38</f>
        <v>1.5699016180006511</v>
      </c>
      <c r="K38" s="81">
        <f ca="1">+'Per Capita Total Expenditure'!K38</f>
        <v>1.6001109560113103</v>
      </c>
      <c r="L38" s="81">
        <f ca="1">+'Per Capita Total Expenditure'!L38</f>
        <v>1.6307965950959218</v>
      </c>
      <c r="M38" s="81">
        <f ca="1">+'Per Capita Total Expenditure'!M38</f>
        <v>1.6622039702609404</v>
      </c>
      <c r="N38" s="81">
        <f ca="1">+'Per Capita Total Expenditure'!N38</f>
        <v>1.6941030542356021</v>
      </c>
      <c r="O38" s="178">
        <f ca="1">+'Per Capita Total Expenditure'!O38</f>
        <v>1.7266014840046318</v>
      </c>
      <c r="P38" s="174">
        <f ca="1">+'Per Capita Total Expenditure'!P38</f>
        <v>1.7596997895253639</v>
      </c>
      <c r="Q38" s="73">
        <f t="shared" ref="Q38:W38" si="19">+C38/J38</f>
        <v>100609.48927561045</v>
      </c>
      <c r="R38" s="73">
        <f t="shared" si="19"/>
        <v>118449.9107939739</v>
      </c>
      <c r="S38" s="73">
        <f t="shared" si="19"/>
        <v>133443.37402617637</v>
      </c>
      <c r="T38" s="73">
        <f t="shared" si="19"/>
        <v>152058.95577323262</v>
      </c>
      <c r="U38" s="73">
        <f t="shared" si="19"/>
        <v>175288.62796011558</v>
      </c>
      <c r="V38" s="73">
        <f t="shared" si="19"/>
        <v>201680.00735893371</v>
      </c>
      <c r="W38" s="18">
        <f t="shared" si="19"/>
        <v>229911.9443033658</v>
      </c>
    </row>
    <row r="39" spans="1:23" ht="18.75" customHeight="1">
      <c r="A39" s="3">
        <v>30</v>
      </c>
      <c r="B39" s="6" t="s">
        <v>44</v>
      </c>
      <c r="C39" s="182">
        <f ca="1">+'NON Plan Exp(%GSDP)'!J39</f>
        <v>9251</v>
      </c>
      <c r="D39" s="182">
        <f ca="1">+'NON Plan Exp(%GSDP)'!K39</f>
        <v>10050</v>
      </c>
      <c r="E39" s="182">
        <f ca="1">+'NON Plan Exp(%GSDP)'!L39</f>
        <v>12304</v>
      </c>
      <c r="F39" s="182">
        <f ca="1">+'NON Plan Exp(%GSDP)'!M39</f>
        <v>13092</v>
      </c>
      <c r="G39" s="182">
        <f ca="1">+'NON Plan Exp(%GSDP)'!N39</f>
        <v>14630</v>
      </c>
      <c r="H39" s="182">
        <f ca="1">+'NON Plan Exp(%GSDP)'!O39</f>
        <v>17192</v>
      </c>
      <c r="I39" s="55">
        <f ca="1">+'NON Plan Exp(%GSDP)'!P39</f>
        <v>21500</v>
      </c>
      <c r="J39" s="81">
        <f ca="1">+'Per Capita Total Expenditure'!J39</f>
        <v>0.11022762496462311</v>
      </c>
      <c r="K39" s="81">
        <f ca="1">+'Per Capita Total Expenditure'!K39</f>
        <v>0.11232441429400046</v>
      </c>
      <c r="L39" s="81">
        <f ca="1">+'Per Capita Total Expenditure'!L39</f>
        <v>0.1144435267396242</v>
      </c>
      <c r="M39" s="81">
        <f ca="1">+'Per Capita Total Expenditure'!M39</f>
        <v>0.11660994142789299</v>
      </c>
      <c r="N39" s="81">
        <f ca="1">+'Per Capita Total Expenditure'!N39</f>
        <v>0.12635581007281554</v>
      </c>
      <c r="O39" s="178">
        <f ca="1">+'Per Capita Total Expenditure'!O39</f>
        <v>0.1295269620232524</v>
      </c>
      <c r="P39" s="174">
        <f ca="1">+'Per Capita Total Expenditure'!P39</f>
        <v>0.13277007035308042</v>
      </c>
      <c r="Q39" s="73">
        <f t="shared" ref="Q39:S40" si="20">+C39/J39</f>
        <v>83926.32974691283</v>
      </c>
      <c r="R39" s="73">
        <f t="shared" si="20"/>
        <v>89472.979344409512</v>
      </c>
      <c r="S39" s="73">
        <f t="shared" si="20"/>
        <v>107511.54172304917</v>
      </c>
      <c r="T39" s="73">
        <f t="shared" ref="T39:W40" si="21">+F39/M39</f>
        <v>112271.7312065162</v>
      </c>
      <c r="U39" s="73">
        <f t="shared" si="21"/>
        <v>115784.14947099872</v>
      </c>
      <c r="V39" s="73">
        <f t="shared" si="21"/>
        <v>132729.1224271417</v>
      </c>
      <c r="W39" s="18">
        <f t="shared" si="21"/>
        <v>161934.08606942999</v>
      </c>
    </row>
    <row r="40" spans="1:23" s="75" customFormat="1" ht="18.75" customHeight="1">
      <c r="A40" s="72"/>
      <c r="B40" s="4" t="s">
        <v>79</v>
      </c>
      <c r="C40" s="183">
        <f t="shared" ref="C40:L40" si="22">SUM(C38:C39)</f>
        <v>167198</v>
      </c>
      <c r="D40" s="183">
        <f t="shared" si="22"/>
        <v>199583</v>
      </c>
      <c r="E40" s="183">
        <f t="shared" si="22"/>
        <v>229923</v>
      </c>
      <c r="F40" s="183">
        <f>SUM(F38:F39)</f>
        <v>265845</v>
      </c>
      <c r="G40" s="183">
        <f>SUM(G38:G39)</f>
        <v>311587</v>
      </c>
      <c r="H40" s="183">
        <f>SUM(H38:H39)</f>
        <v>365413</v>
      </c>
      <c r="I40" s="242">
        <f>SUM(I38:I39)</f>
        <v>426076</v>
      </c>
      <c r="J40" s="82">
        <f t="shared" si="22"/>
        <v>1.6801292429652741</v>
      </c>
      <c r="K40" s="82">
        <f t="shared" si="22"/>
        <v>1.7124353703053108</v>
      </c>
      <c r="L40" s="87">
        <f t="shared" si="22"/>
        <v>1.745240121835546</v>
      </c>
      <c r="M40" s="87">
        <f>SUM(M38:M39)</f>
        <v>1.7788139116888333</v>
      </c>
      <c r="N40" s="87">
        <f>SUM(N38:N39)</f>
        <v>1.8204588643084176</v>
      </c>
      <c r="O40" s="175">
        <f>SUM(O38:O39)</f>
        <v>1.8561284460278842</v>
      </c>
      <c r="P40" s="175">
        <f>SUM(P38:P39)</f>
        <v>1.8924698598784442</v>
      </c>
      <c r="Q40" s="74">
        <f t="shared" si="20"/>
        <v>99514.963328006153</v>
      </c>
      <c r="R40" s="74">
        <f t="shared" si="20"/>
        <v>116549.21608189876</v>
      </c>
      <c r="S40" s="74">
        <f t="shared" si="20"/>
        <v>131742.90295262056</v>
      </c>
      <c r="T40" s="74">
        <f t="shared" si="21"/>
        <v>149450.70884205232</v>
      </c>
      <c r="U40" s="74">
        <f t="shared" si="21"/>
        <v>171158.49531616317</v>
      </c>
      <c r="V40" s="74">
        <f t="shared" si="21"/>
        <v>196868.37986992981</v>
      </c>
      <c r="W40" s="66">
        <f t="shared" si="21"/>
        <v>225142.81946205866</v>
      </c>
    </row>
    <row r="41" spans="1:23" s="75" customFormat="1" ht="9" customHeight="1">
      <c r="A41" s="72"/>
      <c r="B41" s="4"/>
      <c r="C41" s="183"/>
      <c r="D41" s="183"/>
      <c r="E41" s="183"/>
      <c r="F41" s="183"/>
      <c r="G41" s="183"/>
      <c r="H41" s="183"/>
      <c r="I41" s="242"/>
      <c r="J41" s="82"/>
      <c r="K41" s="82"/>
      <c r="L41" s="87"/>
      <c r="M41" s="87"/>
      <c r="N41" s="87"/>
      <c r="O41" s="175"/>
      <c r="P41" s="175"/>
      <c r="Q41" s="73"/>
      <c r="R41" s="73"/>
      <c r="S41" s="73"/>
      <c r="T41" s="73"/>
      <c r="U41" s="73"/>
      <c r="V41" s="73"/>
      <c r="W41" s="18"/>
    </row>
    <row r="42" spans="1:23" s="75" customFormat="1">
      <c r="A42" s="72"/>
      <c r="B42" s="4" t="s">
        <v>46</v>
      </c>
      <c r="C42" s="183">
        <f t="shared" ref="C42:L42" si="23">+C17+C36+C40</f>
        <v>4347593</v>
      </c>
      <c r="D42" s="183">
        <f t="shared" si="23"/>
        <v>5011438</v>
      </c>
      <c r="E42" s="183">
        <f t="shared" si="23"/>
        <v>5763838</v>
      </c>
      <c r="F42" s="183">
        <f>+F17+F36+F40</f>
        <v>6885743</v>
      </c>
      <c r="G42" s="183">
        <f>+G17+G36+G40</f>
        <v>7907554</v>
      </c>
      <c r="H42" s="183">
        <f>+H17+H36+H40</f>
        <v>9060004</v>
      </c>
      <c r="I42" s="242">
        <f>+I17+I36+I40</f>
        <v>10403785.896576375</v>
      </c>
      <c r="J42" s="82">
        <f t="shared" si="23"/>
        <v>113.68658442493512</v>
      </c>
      <c r="K42" s="82">
        <f t="shared" si="23"/>
        <v>115.32287849537649</v>
      </c>
      <c r="L42" s="87">
        <f t="shared" si="23"/>
        <v>116.9375860573638</v>
      </c>
      <c r="M42" s="87">
        <f>+M17+M36+M40</f>
        <v>118.54834727360131</v>
      </c>
      <c r="N42" s="87">
        <f>+N17+N36+N40</f>
        <v>120.16318842535682</v>
      </c>
      <c r="O42" s="175">
        <f>+O17+O36+O40</f>
        <v>121.72085102981136</v>
      </c>
      <c r="P42" s="175">
        <f>+P17+P36+P40</f>
        <v>123.30432178669072</v>
      </c>
      <c r="Q42" s="74">
        <f t="shared" ref="Q42:W42" si="24">+C42/J42</f>
        <v>38241.917654502366</v>
      </c>
      <c r="R42" s="74">
        <f t="shared" si="24"/>
        <v>43455.713778432248</v>
      </c>
      <c r="S42" s="74">
        <f t="shared" si="24"/>
        <v>49289.866452113572</v>
      </c>
      <c r="T42" s="74">
        <f t="shared" si="24"/>
        <v>58083.838015119567</v>
      </c>
      <c r="U42" s="74">
        <f t="shared" si="24"/>
        <v>65806.792443028651</v>
      </c>
      <c r="V42" s="74">
        <f t="shared" si="24"/>
        <v>74432.637656970226</v>
      </c>
      <c r="W42" s="66">
        <f t="shared" si="24"/>
        <v>84374.86817837834</v>
      </c>
    </row>
    <row r="43" spans="1:23" ht="9" customHeight="1">
      <c r="A43" s="83"/>
      <c r="B43" s="27"/>
      <c r="C43" s="184"/>
      <c r="D43" s="184"/>
      <c r="E43" s="184"/>
      <c r="F43" s="184"/>
      <c r="G43" s="184"/>
      <c r="H43" s="184"/>
      <c r="I43" s="255"/>
      <c r="J43" s="27"/>
      <c r="K43" s="27"/>
      <c r="L43" s="23"/>
      <c r="M43" s="23"/>
      <c r="N43" s="23"/>
      <c r="O43" s="176"/>
      <c r="P43" s="176"/>
      <c r="Q43" s="27"/>
      <c r="R43" s="27"/>
      <c r="S43" s="27"/>
    </row>
    <row r="44" spans="1:23">
      <c r="B44" s="67" t="s">
        <v>191</v>
      </c>
    </row>
  </sheetData>
  <mergeCells count="7">
    <mergeCell ref="A1:V1"/>
    <mergeCell ref="J4:O4"/>
    <mergeCell ref="B2:B3"/>
    <mergeCell ref="A2:A3"/>
    <mergeCell ref="C2:I2"/>
    <mergeCell ref="J2:P2"/>
    <mergeCell ref="Q2:W2"/>
  </mergeCells>
  <phoneticPr fontId="42" type="noConversion"/>
  <printOptions horizontalCentered="1"/>
  <pageMargins left="0.35433070866141736" right="0.15748031496062992" top="0.78740157480314965" bottom="0.39370078740157483" header="0" footer="0"/>
  <pageSetup paperSize="9" scale="63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W4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5" sqref="B5"/>
    </sheetView>
  </sheetViews>
  <sheetFormatPr defaultRowHeight="14.25"/>
  <cols>
    <col min="1" max="1" width="4.85546875" style="89" customWidth="1"/>
    <col min="2" max="2" width="40.7109375" style="26" customWidth="1"/>
    <col min="3" max="4" width="10.85546875" style="26" customWidth="1"/>
    <col min="5" max="5" width="10.85546875" style="38" customWidth="1"/>
    <col min="6" max="6" width="11.42578125" style="38" customWidth="1"/>
    <col min="7" max="7" width="10.85546875" style="38" customWidth="1"/>
    <col min="8" max="8" width="11.5703125" style="38" customWidth="1"/>
    <col min="9" max="14" width="10.85546875" style="38" customWidth="1"/>
    <col min="15" max="16" width="10.85546875" style="180" customWidth="1"/>
    <col min="17" max="21" width="10.85546875" style="26" customWidth="1"/>
    <col min="22" max="22" width="11.85546875" style="26" customWidth="1"/>
    <col min="23" max="23" width="10.140625" style="26" customWidth="1"/>
    <col min="24" max="16384" width="9.140625" style="26"/>
  </cols>
  <sheetData>
    <row r="1" spans="1:23" ht="23.25" customHeight="1">
      <c r="A1" s="679" t="s">
        <v>110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  <c r="S1" s="679"/>
      <c r="T1" s="679"/>
      <c r="U1" s="679"/>
      <c r="V1" s="679"/>
      <c r="W1" s="679"/>
    </row>
    <row r="2" spans="1:23" s="27" customFormat="1" ht="31.5" customHeight="1">
      <c r="A2" s="681" t="s">
        <v>0</v>
      </c>
      <c r="B2" s="680" t="s">
        <v>85</v>
      </c>
      <c r="C2" s="602" t="s">
        <v>169</v>
      </c>
      <c r="D2" s="603"/>
      <c r="E2" s="603"/>
      <c r="F2" s="603"/>
      <c r="G2" s="603"/>
      <c r="H2" s="603"/>
      <c r="I2" s="604"/>
      <c r="J2" s="602" t="s">
        <v>170</v>
      </c>
      <c r="K2" s="603"/>
      <c r="L2" s="603"/>
      <c r="M2" s="603"/>
      <c r="N2" s="603"/>
      <c r="O2" s="603"/>
      <c r="P2" s="604"/>
      <c r="Q2" s="678" t="s">
        <v>171</v>
      </c>
      <c r="R2" s="678"/>
      <c r="S2" s="678"/>
      <c r="T2" s="678"/>
      <c r="U2" s="678"/>
      <c r="V2" s="678"/>
      <c r="W2" s="678"/>
    </row>
    <row r="3" spans="1:23" s="27" customFormat="1" ht="27" customHeight="1">
      <c r="A3" s="681"/>
      <c r="B3" s="680"/>
      <c r="C3" s="2" t="s">
        <v>3</v>
      </c>
      <c r="D3" s="2" t="s">
        <v>4</v>
      </c>
      <c r="E3" s="1" t="s">
        <v>5</v>
      </c>
      <c r="F3" s="1" t="s">
        <v>6</v>
      </c>
      <c r="G3" s="1" t="s">
        <v>7</v>
      </c>
      <c r="H3" s="1" t="s">
        <v>122</v>
      </c>
      <c r="I3" s="1" t="s">
        <v>139</v>
      </c>
      <c r="J3" s="1" t="s">
        <v>3</v>
      </c>
      <c r="K3" s="1" t="s">
        <v>4</v>
      </c>
      <c r="L3" s="1" t="s">
        <v>5</v>
      </c>
      <c r="M3" s="1" t="s">
        <v>6</v>
      </c>
      <c r="N3" s="1" t="s">
        <v>7</v>
      </c>
      <c r="O3" s="1" t="s">
        <v>122</v>
      </c>
      <c r="P3" s="1" t="s">
        <v>139</v>
      </c>
      <c r="Q3" s="148" t="s">
        <v>3</v>
      </c>
      <c r="R3" s="148" t="s">
        <v>4</v>
      </c>
      <c r="S3" s="148" t="s">
        <v>5</v>
      </c>
      <c r="T3" s="148" t="s">
        <v>6</v>
      </c>
      <c r="U3" s="148" t="s">
        <v>7</v>
      </c>
      <c r="V3" s="148" t="s">
        <v>122</v>
      </c>
      <c r="W3" s="148" t="s">
        <v>139</v>
      </c>
    </row>
    <row r="4" spans="1:23" s="27" customFormat="1" ht="26.25" customHeight="1">
      <c r="A4" s="91"/>
      <c r="B4" s="122">
        <v>41834</v>
      </c>
      <c r="C4" s="2" t="s">
        <v>8</v>
      </c>
      <c r="D4" s="2" t="s">
        <v>8</v>
      </c>
      <c r="E4" s="1" t="s">
        <v>8</v>
      </c>
      <c r="F4" s="1" t="s">
        <v>8</v>
      </c>
      <c r="G4" s="1" t="s">
        <v>8</v>
      </c>
      <c r="H4" s="1" t="s">
        <v>9</v>
      </c>
      <c r="I4" s="249" t="s">
        <v>10</v>
      </c>
      <c r="J4" s="671" t="s">
        <v>77</v>
      </c>
      <c r="K4" s="672"/>
      <c r="L4" s="672"/>
      <c r="M4" s="672"/>
      <c r="N4" s="672"/>
      <c r="O4" s="672"/>
      <c r="P4" s="673"/>
      <c r="Q4" s="148" t="s">
        <v>8</v>
      </c>
      <c r="R4" s="148" t="s">
        <v>8</v>
      </c>
      <c r="S4" s="148" t="s">
        <v>8</v>
      </c>
      <c r="T4" s="148" t="s">
        <v>8</v>
      </c>
      <c r="U4" s="148" t="s">
        <v>8</v>
      </c>
      <c r="V4" s="148" t="s">
        <v>9</v>
      </c>
      <c r="W4" s="148" t="s">
        <v>10</v>
      </c>
    </row>
    <row r="5" spans="1:23" ht="23.25" customHeight="1">
      <c r="A5" s="34"/>
      <c r="B5" s="32" t="s">
        <v>11</v>
      </c>
      <c r="C5" s="31"/>
      <c r="D5" s="31"/>
      <c r="E5" s="37"/>
      <c r="F5" s="37"/>
      <c r="G5" s="37"/>
      <c r="H5" s="37"/>
      <c r="I5" s="37"/>
      <c r="J5" s="37"/>
      <c r="K5" s="37"/>
      <c r="L5" s="37"/>
      <c r="M5" s="37"/>
      <c r="N5" s="37"/>
      <c r="O5" s="179"/>
      <c r="P5" s="179"/>
      <c r="Q5" s="149"/>
      <c r="R5" s="149"/>
      <c r="S5" s="149"/>
      <c r="T5" s="149"/>
      <c r="U5" s="149"/>
      <c r="V5" s="149"/>
      <c r="W5" s="149"/>
    </row>
    <row r="6" spans="1:23" ht="23.25" customHeight="1">
      <c r="A6" s="34">
        <v>1</v>
      </c>
      <c r="B6" s="31" t="s">
        <v>12</v>
      </c>
      <c r="C6" s="73">
        <f ca="1">+'Salaries (% Total Expenditure)'!C6+'Worksheet Pension &amp; RE'!C6+'IP as % of TRR'!C6</f>
        <v>683.75</v>
      </c>
      <c r="D6" s="73">
        <f ca="1">+'Salaries (% Total Expenditure)'!D6+'Worksheet Pension &amp; RE'!D6+'IP as % of TRR'!D6</f>
        <v>1201.53</v>
      </c>
      <c r="E6" s="73">
        <f ca="1">+'Salaries (% Total Expenditure)'!E6+'Worksheet Pension &amp; RE'!E6+'IP as % of TRR'!E6</f>
        <v>1873.29</v>
      </c>
      <c r="F6" s="73">
        <f ca="1">+'Salaries (% Total Expenditure)'!F6+'Worksheet Pension &amp; RE'!F6+'IP as % of TRR'!F6</f>
        <v>2017.63</v>
      </c>
      <c r="G6" s="73">
        <f ca="1">+'Salaries (% Total Expenditure)'!G6+'Worksheet Pension &amp; RE'!G6+'IP as % of TRR'!G6</f>
        <v>2515.73</v>
      </c>
      <c r="H6" s="73">
        <f ca="1">+'Salaries (% Total Expenditure)'!H6+'Worksheet Pension &amp; RE'!H6+'IP as % of TRR'!H6</f>
        <v>2361.66</v>
      </c>
      <c r="I6" s="18">
        <f ca="1">+'Salaries (% Total Expenditure)'!I6+'Worksheet Pension &amp; RE'!I6+'IP as % of TRR'!I6</f>
        <v>2877.54</v>
      </c>
      <c r="J6" s="88">
        <f ca="1">+'Per Capita Total Expenditure'!J6</f>
        <v>0.12786574501684686</v>
      </c>
      <c r="K6" s="88">
        <f ca="1">+'Per Capita Total Expenditure'!K6</f>
        <v>0.1308716724211223</v>
      </c>
      <c r="L6" s="88">
        <f ca="1">+'Per Capita Total Expenditure'!L6</f>
        <v>0.13393853684639914</v>
      </c>
      <c r="M6" s="88">
        <f ca="1">+'Per Capita Total Expenditure'!M6</f>
        <v>0.13706887690687536</v>
      </c>
      <c r="N6" s="88">
        <f ca="1">+'Per Capita Total Expenditure'!N6</f>
        <v>0.14026699866888859</v>
      </c>
      <c r="O6" s="174">
        <f ca="1">+'Per Capita Total Expenditure'!O6</f>
        <v>0.14355350706310671</v>
      </c>
      <c r="P6" s="174">
        <f ca="1">+'Per Capita Total Expenditure'!P6</f>
        <v>0.14691483346585812</v>
      </c>
      <c r="Q6" s="150">
        <f t="shared" ref="Q6:Q17" si="0">+C6/J6</f>
        <v>5347.4055925604862</v>
      </c>
      <c r="R6" s="150">
        <f t="shared" ref="R6:R17" si="1">+D6/K6</f>
        <v>9180.9784178021746</v>
      </c>
      <c r="S6" s="150">
        <f>+E6/L6</f>
        <v>13986.191309139736</v>
      </c>
      <c r="T6" s="150">
        <f>+F6/M6</f>
        <v>14719.825868061782</v>
      </c>
      <c r="U6" s="150">
        <f>+G6/N6</f>
        <v>17935.295000776205</v>
      </c>
      <c r="V6" s="150">
        <f>+H6/O6</f>
        <v>16451.426707128823</v>
      </c>
      <c r="W6" s="150">
        <f>+I6/P6</f>
        <v>19586.449728159805</v>
      </c>
    </row>
    <row r="7" spans="1:23" ht="23.25" customHeight="1">
      <c r="A7" s="34">
        <v>2</v>
      </c>
      <c r="B7" s="31" t="s">
        <v>13</v>
      </c>
      <c r="C7" s="73">
        <f ca="1">+'Salaries (% Total Expenditure)'!C7+'Worksheet Pension &amp; RE'!C7+'IP as % of TRR'!C7</f>
        <v>8620.27</v>
      </c>
      <c r="D7" s="73">
        <f ca="1">+'Salaries (% Total Expenditure)'!D7+'Worksheet Pension &amp; RE'!D7+'IP as % of TRR'!D7</f>
        <v>8441.16</v>
      </c>
      <c r="E7" s="73">
        <f ca="1">+'Salaries (% Total Expenditure)'!E7+'Worksheet Pension &amp; RE'!E7+'IP as % of TRR'!E7</f>
        <v>10068.18</v>
      </c>
      <c r="F7" s="73">
        <f ca="1">+'Salaries (% Total Expenditure)'!F7+'Worksheet Pension &amp; RE'!F7+'IP as % of TRR'!F7</f>
        <v>16801.190000000002</v>
      </c>
      <c r="G7" s="73">
        <f ca="1">+'Salaries (% Total Expenditure)'!G7+'Worksheet Pension &amp; RE'!G7+'IP as % of TRR'!G7</f>
        <v>11800.75</v>
      </c>
      <c r="H7" s="73">
        <f ca="1">+'Salaries (% Total Expenditure)'!H7+'Worksheet Pension &amp; RE'!H7+'IP as % of TRR'!H7</f>
        <v>14268.24</v>
      </c>
      <c r="I7" s="18">
        <f ca="1">+'Salaries (% Total Expenditure)'!I7+'Worksheet Pension &amp; RE'!I7+'IP as % of TRR'!I7</f>
        <v>19129.850000000002</v>
      </c>
      <c r="J7" s="88">
        <f ca="1">+'Per Capita Total Expenditure'!J7</f>
        <v>2.9282292155941758</v>
      </c>
      <c r="K7" s="88">
        <f ca="1">+'Per Capita Total Expenditure'!K7</f>
        <v>2.9660151873521725</v>
      </c>
      <c r="L7" s="88">
        <f ca="1">+'Per Capita Total Expenditure'!L7</f>
        <v>3.0036641651692917</v>
      </c>
      <c r="M7" s="88">
        <f ca="1">+'Per Capita Total Expenditure'!M7</f>
        <v>3.0412850968658387</v>
      </c>
      <c r="N7" s="88">
        <f ca="1">+'Per Capita Total Expenditure'!N7</f>
        <v>3.0791157490045311</v>
      </c>
      <c r="O7" s="174">
        <f ca="1">+'Per Capita Total Expenditure'!O7</f>
        <v>3.1167140210006177</v>
      </c>
      <c r="P7" s="174">
        <f ca="1">+'Per Capita Total Expenditure'!P7</f>
        <v>3.1539672951633086</v>
      </c>
      <c r="Q7" s="150">
        <f t="shared" si="0"/>
        <v>2943.8508276924063</v>
      </c>
      <c r="R7" s="150">
        <f t="shared" si="1"/>
        <v>2845.959803575925</v>
      </c>
      <c r="S7" s="150">
        <f t="shared" ref="S7:S16" si="2">+E7/L7</f>
        <v>3351.9659477085847</v>
      </c>
      <c r="T7" s="150">
        <f t="shared" ref="T7:T16" si="3">+F7/M7</f>
        <v>5524.3719233406546</v>
      </c>
      <c r="U7" s="150">
        <f t="shared" ref="U7:U16" si="4">+G7/N7</f>
        <v>3832.5126308795461</v>
      </c>
      <c r="V7" s="150">
        <f t="shared" ref="V7:W16" si="5">+H7/O7</f>
        <v>4577.9753624681925</v>
      </c>
      <c r="W7" s="150">
        <f t="shared" si="5"/>
        <v>6065.3292218141032</v>
      </c>
    </row>
    <row r="8" spans="1:23" ht="23.25" customHeight="1">
      <c r="A8" s="34">
        <v>3</v>
      </c>
      <c r="B8" s="31" t="s">
        <v>14</v>
      </c>
      <c r="C8" s="73">
        <f ca="1">+'Salaries (% Total Expenditure)'!C8+'Worksheet Pension &amp; RE'!C8+'IP as % of TRR'!C8</f>
        <v>5666.9</v>
      </c>
      <c r="D8" s="73">
        <f ca="1">+'Salaries (% Total Expenditure)'!D8+'Worksheet Pension &amp; RE'!D8+'IP as % of TRR'!D8</f>
        <v>6362.3799999999992</v>
      </c>
      <c r="E8" s="73">
        <f ca="1">+'Salaries (% Total Expenditure)'!E8+'Worksheet Pension &amp; RE'!E8+'IP as % of TRR'!E8</f>
        <v>7277.34</v>
      </c>
      <c r="F8" s="73">
        <f ca="1">+'Salaries (% Total Expenditure)'!F8+'Worksheet Pension &amp; RE'!F8+'IP as % of TRR'!F8</f>
        <v>9221.5499999999993</v>
      </c>
      <c r="G8" s="73">
        <f ca="1">+'Salaries (% Total Expenditure)'!G8+'Worksheet Pension &amp; RE'!G8+'IP as % of TRR'!G8</f>
        <v>9652.02</v>
      </c>
      <c r="H8" s="73">
        <f ca="1">+'Salaries (% Total Expenditure)'!H8+'Worksheet Pension &amp; RE'!H8+'IP as % of TRR'!H8</f>
        <v>11246.47</v>
      </c>
      <c r="I8" s="18">
        <f ca="1">+'Salaries (% Total Expenditure)'!I8+'Worksheet Pension &amp; RE'!I8+'IP as % of TRR'!I8</f>
        <v>12534</v>
      </c>
      <c r="J8" s="88">
        <f ca="1">+'Per Capita Total Expenditure'!J8</f>
        <v>0.65671084078140518</v>
      </c>
      <c r="K8" s="88">
        <f ca="1">+'Per Capita Total Expenditure'!K8</f>
        <v>0.66359213153241203</v>
      </c>
      <c r="L8" s="88">
        <f ca="1">+'Per Capita Total Expenditure'!L8</f>
        <v>0.67019450573011763</v>
      </c>
      <c r="M8" s="88">
        <f ca="1">+'Per Capita Total Expenditure'!M8</f>
        <v>0.67669396281437522</v>
      </c>
      <c r="N8" s="88">
        <f ca="1">+'Per Capita Total Expenditure'!N8</f>
        <v>0.69010098766654204</v>
      </c>
      <c r="O8" s="174">
        <f ca="1">+'Per Capita Total Expenditure'!O8</f>
        <v>0.69713778804785764</v>
      </c>
      <c r="P8" s="174">
        <f ca="1">+'Per Capita Total Expenditure'!P8</f>
        <v>0.70417118093174436</v>
      </c>
      <c r="Q8" s="150">
        <f t="shared" si="0"/>
        <v>8629.2164649773185</v>
      </c>
      <c r="R8" s="150">
        <f t="shared" si="1"/>
        <v>9587.7869819034149</v>
      </c>
      <c r="S8" s="150">
        <f t="shared" si="2"/>
        <v>10858.549179050613</v>
      </c>
      <c r="T8" s="150">
        <f t="shared" si="3"/>
        <v>13627.356688165954</v>
      </c>
      <c r="U8" s="150">
        <f t="shared" si="4"/>
        <v>13986.387749764926</v>
      </c>
      <c r="V8" s="150">
        <f t="shared" si="5"/>
        <v>16132.348859602978</v>
      </c>
      <c r="W8" s="150">
        <f t="shared" si="5"/>
        <v>17799.649203784906</v>
      </c>
    </row>
    <row r="9" spans="1:23" ht="23.25" customHeight="1">
      <c r="A9" s="34">
        <v>4</v>
      </c>
      <c r="B9" s="31" t="s">
        <v>15</v>
      </c>
      <c r="C9" s="73">
        <f ca="1">+'Salaries (% Total Expenditure)'!C9+'Worksheet Pension &amp; RE'!C9+'IP as % of TRR'!C9</f>
        <v>8103.05</v>
      </c>
      <c r="D9" s="73">
        <f ca="1">+'Salaries (% Total Expenditure)'!D9+'Worksheet Pension &amp; RE'!D9+'IP as % of TRR'!D9</f>
        <v>7924.41</v>
      </c>
      <c r="E9" s="73">
        <f ca="1">+'Salaries (% Total Expenditure)'!E9+'Worksheet Pension &amp; RE'!E9+'IP as % of TRR'!E9</f>
        <v>9729.65</v>
      </c>
      <c r="F9" s="73">
        <f ca="1">+'Salaries (% Total Expenditure)'!F9+'Worksheet Pension &amp; RE'!F9+'IP as % of TRR'!F9</f>
        <v>12247.93</v>
      </c>
      <c r="G9" s="73">
        <f ca="1">+'Salaries (% Total Expenditure)'!G9+'Worksheet Pension &amp; RE'!G9+'IP as % of TRR'!G9</f>
        <v>15483.93</v>
      </c>
      <c r="H9" s="73">
        <f ca="1">+'Salaries (% Total Expenditure)'!H9+'Worksheet Pension &amp; RE'!H9+'IP as % of TRR'!H9</f>
        <v>16886.71</v>
      </c>
      <c r="I9" s="18">
        <f ca="1">+'Salaries (% Total Expenditure)'!I9+'Worksheet Pension &amp; RE'!I9+'IP as % of TRR'!I9</f>
        <v>20711</v>
      </c>
      <c r="J9" s="88">
        <f ca="1">+'Per Capita Total Expenditure'!J9</f>
        <v>1.1192072282133489</v>
      </c>
      <c r="K9" s="88">
        <f ca="1">+'Per Capita Total Expenditure'!K9</f>
        <v>1.1349794783529723</v>
      </c>
      <c r="L9" s="88">
        <f ca="1">+'Per Capita Total Expenditure'!L9</f>
        <v>1.1506092124814264</v>
      </c>
      <c r="M9" s="88">
        <f ca="1">+'Per Capita Total Expenditure'!M9</f>
        <v>1.1659058594626954</v>
      </c>
      <c r="N9" s="88">
        <f ca="1">+'Per Capita Total Expenditure'!N9</f>
        <v>1.180605336519315</v>
      </c>
      <c r="O9" s="174">
        <f ca="1">+'Per Capita Total Expenditure'!O9</f>
        <v>1.1951915794379819</v>
      </c>
      <c r="P9" s="174">
        <f ca="1">+'Per Capita Total Expenditure'!P9</f>
        <v>1.20959457335222</v>
      </c>
      <c r="Q9" s="150">
        <f t="shared" si="0"/>
        <v>7239.990768229166</v>
      </c>
      <c r="R9" s="150">
        <f t="shared" si="1"/>
        <v>6981.9852703412071</v>
      </c>
      <c r="S9" s="150">
        <f t="shared" si="2"/>
        <v>8456.085606178005</v>
      </c>
      <c r="T9" s="150">
        <f t="shared" si="3"/>
        <v>10505.076289473685</v>
      </c>
      <c r="U9" s="150">
        <f t="shared" si="4"/>
        <v>13115.246493506495</v>
      </c>
      <c r="V9" s="150">
        <f t="shared" si="5"/>
        <v>14128.87296942025</v>
      </c>
      <c r="W9" s="150">
        <f t="shared" si="5"/>
        <v>17122.26596933417</v>
      </c>
    </row>
    <row r="10" spans="1:23" ht="23.25" customHeight="1">
      <c r="A10" s="34">
        <v>5</v>
      </c>
      <c r="B10" s="31" t="s">
        <v>16</v>
      </c>
      <c r="C10" s="73">
        <f ca="1">+'Salaries (% Total Expenditure)'!C10+'Worksheet Pension &amp; RE'!C10+'IP as % of TRR'!C10</f>
        <v>1394.42</v>
      </c>
      <c r="D10" s="73">
        <f ca="1">+'Salaries (% Total Expenditure)'!D10+'Worksheet Pension &amp; RE'!D10+'IP as % of TRR'!D10</f>
        <v>1644.2099999999998</v>
      </c>
      <c r="E10" s="73">
        <f ca="1">+'Salaries (% Total Expenditure)'!E10+'Worksheet Pension &amp; RE'!E10+'IP as % of TRR'!E10</f>
        <v>1764.25</v>
      </c>
      <c r="F10" s="73">
        <f ca="1">+'Salaries (% Total Expenditure)'!F10+'Worksheet Pension &amp; RE'!F10+'IP as % of TRR'!F10</f>
        <v>2438.0999999999995</v>
      </c>
      <c r="G10" s="73">
        <f ca="1">+'Salaries (% Total Expenditure)'!G10+'Worksheet Pension &amp; RE'!G10+'IP as % of TRR'!G10</f>
        <v>3235.69</v>
      </c>
      <c r="H10" s="73">
        <f ca="1">+'Salaries (% Total Expenditure)'!H10+'Worksheet Pension &amp; RE'!H10+'IP as % of TRR'!H10</f>
        <v>3543.3999999999996</v>
      </c>
      <c r="I10" s="18">
        <f ca="1">+'Salaries (% Total Expenditure)'!I10+'Worksheet Pension &amp; RE'!I10+'IP as % of TRR'!I10</f>
        <v>3920.7</v>
      </c>
      <c r="J10" s="88">
        <f ca="1">+'Per Capita Total Expenditure'!J10</f>
        <v>0.26194084787597971</v>
      </c>
      <c r="K10" s="88">
        <f ca="1">+'Per Capita Total Expenditure'!K10</f>
        <v>0.2669842166875227</v>
      </c>
      <c r="L10" s="88">
        <f ca="1">+'Per Capita Total Expenditure'!L10</f>
        <v>0.2720797195054438</v>
      </c>
      <c r="M10" s="88">
        <f ca="1">+'Per Capita Total Expenditure'!M10</f>
        <v>0.27721129584183057</v>
      </c>
      <c r="N10" s="88">
        <f ca="1">+'Per Capita Total Expenditure'!N10</f>
        <v>0.2823442909224595</v>
      </c>
      <c r="O10" s="174">
        <f ca="1">+'Per Capita Total Expenditure'!O10</f>
        <v>0.28757471075286506</v>
      </c>
      <c r="P10" s="174">
        <f ca="1">+'Per Capita Total Expenditure'!P10</f>
        <v>0.29290202395948489</v>
      </c>
      <c r="Q10" s="150">
        <f t="shared" si="0"/>
        <v>5323.4156158042661</v>
      </c>
      <c r="R10" s="150">
        <f t="shared" si="1"/>
        <v>6158.4539355911693</v>
      </c>
      <c r="S10" s="150">
        <f t="shared" si="2"/>
        <v>6484.3127712967989</v>
      </c>
      <c r="T10" s="150">
        <f t="shared" si="3"/>
        <v>8795.096147132168</v>
      </c>
      <c r="U10" s="150">
        <f t="shared" si="4"/>
        <v>11460.086511501735</v>
      </c>
      <c r="V10" s="150">
        <f t="shared" si="5"/>
        <v>12321.667613690532</v>
      </c>
      <c r="W10" s="150">
        <f t="shared" si="5"/>
        <v>13385.704704254018</v>
      </c>
    </row>
    <row r="11" spans="1:23" ht="23.25" customHeight="1">
      <c r="A11" s="34">
        <v>6</v>
      </c>
      <c r="B11" s="31" t="s">
        <v>17</v>
      </c>
      <c r="C11" s="73">
        <f ca="1">+'Salaries (% Total Expenditure)'!C11+'Worksheet Pension &amp; RE'!C11+'IP as % of TRR'!C11</f>
        <v>1264.46</v>
      </c>
      <c r="D11" s="73">
        <f ca="1">+'Salaries (% Total Expenditure)'!D11+'Worksheet Pension &amp; RE'!D11+'IP as % of TRR'!D11</f>
        <v>1398.9799999999998</v>
      </c>
      <c r="E11" s="73">
        <f ca="1">+'Salaries (% Total Expenditure)'!E11+'Worksheet Pension &amp; RE'!E11+'IP as % of TRR'!E11</f>
        <v>1934.5099999999998</v>
      </c>
      <c r="F11" s="73">
        <f ca="1">+'Salaries (% Total Expenditure)'!F11+'Worksheet Pension &amp; RE'!F11+'IP as % of TRR'!F11</f>
        <v>2429.64</v>
      </c>
      <c r="G11" s="73">
        <f ca="1">+'Salaries (% Total Expenditure)'!G11+'Worksheet Pension &amp; RE'!G11+'IP as % of TRR'!G11</f>
        <v>2840.88</v>
      </c>
      <c r="H11" s="73">
        <f ca="1">+'Salaries (% Total Expenditure)'!H11+'Worksheet Pension &amp; RE'!H11+'IP as % of TRR'!H11</f>
        <v>2795.63</v>
      </c>
      <c r="I11" s="18">
        <f ca="1">+'Salaries (% Total Expenditure)'!I11+'Worksheet Pension &amp; RE'!I11+'IP as % of TRR'!I11</f>
        <v>2676.5400000000004</v>
      </c>
      <c r="J11" s="88">
        <f ca="1">+'Per Capita Total Expenditure'!J11</f>
        <v>0.25180402582605393</v>
      </c>
      <c r="K11" s="88">
        <f ca="1">+'Per Capita Total Expenditure'!K11</f>
        <v>0.25481112781213811</v>
      </c>
      <c r="L11" s="88">
        <f ca="1">+'Per Capita Total Expenditure'!L11</f>
        <v>0.25779982383755967</v>
      </c>
      <c r="M11" s="88">
        <f ca="1">+'Per Capita Total Expenditure'!M11</f>
        <v>0.260896043523274</v>
      </c>
      <c r="N11" s="88">
        <f ca="1">+'Per Capita Total Expenditure'!N11</f>
        <v>0.26390718782023131</v>
      </c>
      <c r="O11" s="174">
        <f ca="1">+'Per Capita Total Expenditure'!O11</f>
        <v>0.26689966897988676</v>
      </c>
      <c r="P11" s="174">
        <f ca="1">+'Per Capita Total Expenditure'!P11</f>
        <v>0.26999925942383174</v>
      </c>
      <c r="Q11" s="150">
        <f t="shared" si="0"/>
        <v>5021.6035897435895</v>
      </c>
      <c r="R11" s="150">
        <f t="shared" si="1"/>
        <v>5490.2625800212736</v>
      </c>
      <c r="S11" s="150">
        <f t="shared" si="2"/>
        <v>7503.9228933645027</v>
      </c>
      <c r="T11" s="150">
        <f t="shared" si="3"/>
        <v>9312.6747619047601</v>
      </c>
      <c r="U11" s="150">
        <f t="shared" si="4"/>
        <v>10764.693540424352</v>
      </c>
      <c r="V11" s="150">
        <f t="shared" si="5"/>
        <v>10474.460349408209</v>
      </c>
      <c r="W11" s="150">
        <f t="shared" si="5"/>
        <v>9913.1383016073305</v>
      </c>
    </row>
    <row r="12" spans="1:23" ht="23.25" customHeight="1">
      <c r="A12" s="34">
        <v>7</v>
      </c>
      <c r="B12" s="31" t="s">
        <v>18</v>
      </c>
      <c r="C12" s="73">
        <f ca="1">+'Salaries (% Total Expenditure)'!C12+'Worksheet Pension &amp; RE'!C12+'IP as % of TRR'!C12</f>
        <v>902.99</v>
      </c>
      <c r="D12" s="73">
        <f ca="1">+'Salaries (% Total Expenditure)'!D12+'Worksheet Pension &amp; RE'!D12+'IP as % of TRR'!D12</f>
        <v>1213.2799999999997</v>
      </c>
      <c r="E12" s="73">
        <f ca="1">+'Salaries (% Total Expenditure)'!E12+'Worksheet Pension &amp; RE'!E12+'IP as % of TRR'!E12</f>
        <v>1433.38</v>
      </c>
      <c r="F12" s="73">
        <f ca="1">+'Salaries (% Total Expenditure)'!F12+'Worksheet Pension &amp; RE'!F12+'IP as % of TRR'!F12</f>
        <v>1658.67</v>
      </c>
      <c r="G12" s="73">
        <f ca="1">+'Salaries (% Total Expenditure)'!G12+'Worksheet Pension &amp; RE'!G12+'IP as % of TRR'!G12</f>
        <v>1984.8899999999999</v>
      </c>
      <c r="H12" s="73">
        <f ca="1">+'Salaries (% Total Expenditure)'!H12+'Worksheet Pension &amp; RE'!H12+'IP as % of TRR'!H12</f>
        <v>2309.88</v>
      </c>
      <c r="I12" s="18">
        <f ca="1">+'Salaries (% Total Expenditure)'!I12+'Worksheet Pension &amp; RE'!I12+'IP as % of TRR'!I12</f>
        <v>2517.3200000000002</v>
      </c>
      <c r="J12" s="88">
        <f ca="1">+'Per Capita Total Expenditure'!J12</f>
        <v>0.10499261265698104</v>
      </c>
      <c r="K12" s="88">
        <f ca="1">+'Per Capita Total Expenditure'!K12</f>
        <v>0.10766678762117049</v>
      </c>
      <c r="L12" s="88">
        <f ca="1">+'Per Capita Total Expenditure'!L12</f>
        <v>0.11042959147840337</v>
      </c>
      <c r="M12" s="88">
        <f ca="1">+'Per Capita Total Expenditure'!M12</f>
        <v>0.11327419734673051</v>
      </c>
      <c r="N12" s="88">
        <f ca="1">+'Per Capita Total Expenditure'!N12</f>
        <v>0.11616505028092904</v>
      </c>
      <c r="O12" s="174">
        <f ca="1">+'Per Capita Total Expenditure'!O12</f>
        <v>0.11915642054046946</v>
      </c>
      <c r="P12" s="174">
        <f ca="1">+'Per Capita Total Expenditure'!P12</f>
        <v>0.12222482167984873</v>
      </c>
      <c r="Q12" s="150">
        <f t="shared" si="0"/>
        <v>8600.5098563471129</v>
      </c>
      <c r="R12" s="150">
        <f t="shared" si="1"/>
        <v>11268.841829561867</v>
      </c>
      <c r="S12" s="150">
        <f t="shared" si="2"/>
        <v>12980.035340258641</v>
      </c>
      <c r="T12" s="150">
        <f t="shared" si="3"/>
        <v>14642.964054054055</v>
      </c>
      <c r="U12" s="150">
        <f t="shared" si="4"/>
        <v>17086.808770794822</v>
      </c>
      <c r="V12" s="150">
        <f t="shared" si="5"/>
        <v>19385.275166229825</v>
      </c>
      <c r="W12" s="150">
        <f t="shared" si="5"/>
        <v>20595.816507663043</v>
      </c>
    </row>
    <row r="13" spans="1:23" ht="23.25" customHeight="1">
      <c r="A13" s="34">
        <v>8</v>
      </c>
      <c r="B13" s="31" t="s">
        <v>19</v>
      </c>
      <c r="C13" s="73">
        <f ca="1">+'Salaries (% Total Expenditure)'!C13+'Worksheet Pension &amp; RE'!C13+'IP as % of TRR'!C13</f>
        <v>1653.66</v>
      </c>
      <c r="D13" s="73">
        <f ca="1">+'Salaries (% Total Expenditure)'!D13+'Worksheet Pension &amp; RE'!D13+'IP as % of TRR'!D13</f>
        <v>1797.27</v>
      </c>
      <c r="E13" s="73">
        <f ca="1">+'Salaries (% Total Expenditure)'!E13+'Worksheet Pension &amp; RE'!E13+'IP as % of TRR'!E13</f>
        <v>2135.4399999999996</v>
      </c>
      <c r="F13" s="73">
        <f ca="1">+'Salaries (% Total Expenditure)'!F13+'Worksheet Pension &amp; RE'!F13+'IP as % of TRR'!F13</f>
        <v>2766.66</v>
      </c>
      <c r="G13" s="73">
        <f ca="1">+'Salaries (% Total Expenditure)'!G13+'Worksheet Pension &amp; RE'!G13+'IP as % of TRR'!G13</f>
        <v>3343.2599999999998</v>
      </c>
      <c r="H13" s="73">
        <f ca="1">+'Salaries (% Total Expenditure)'!H13+'Worksheet Pension &amp; RE'!H13+'IP as % of TRR'!H13</f>
        <v>3738.3299999999995</v>
      </c>
      <c r="I13" s="18">
        <f ca="1">+'Salaries (% Total Expenditure)'!I13+'Worksheet Pension &amp; RE'!I13+'IP as % of TRR'!I13</f>
        <v>4097.2199999999993</v>
      </c>
      <c r="J13" s="88">
        <f ca="1">+'Per Capita Total Expenditure'!J13</f>
        <v>0.18699624857064523</v>
      </c>
      <c r="K13" s="88">
        <f ca="1">+'Per Capita Total Expenditure'!K13</f>
        <v>0.19010302987524846</v>
      </c>
      <c r="L13" s="88">
        <f ca="1">+'Per Capita Total Expenditure'!L13</f>
        <v>0.19320318324676342</v>
      </c>
      <c r="M13" s="88">
        <f ca="1">+'Per Capita Total Expenditure'!M13</f>
        <v>0.19520683673713918</v>
      </c>
      <c r="N13" s="88">
        <f ca="1">+'Per Capita Total Expenditure'!N13</f>
        <v>0.20119488263754368</v>
      </c>
      <c r="O13" s="174">
        <f ca="1">+'Per Capita Total Expenditure'!O13</f>
        <v>0.20759347572032161</v>
      </c>
      <c r="P13" s="174">
        <f ca="1">+'Per Capita Total Expenditure'!P13</f>
        <v>0.21419556301181025</v>
      </c>
      <c r="Q13" s="150">
        <f t="shared" si="0"/>
        <v>8843.2790103554653</v>
      </c>
      <c r="R13" s="150">
        <f t="shared" si="1"/>
        <v>9454.1891372242972</v>
      </c>
      <c r="S13" s="150">
        <f t="shared" si="2"/>
        <v>11052.819959351125</v>
      </c>
      <c r="T13" s="150">
        <f t="shared" si="3"/>
        <v>14172.96671696759</v>
      </c>
      <c r="U13" s="150">
        <f t="shared" si="4"/>
        <v>16617.023038418651</v>
      </c>
      <c r="V13" s="150">
        <f t="shared" si="5"/>
        <v>18007.935880588222</v>
      </c>
      <c r="W13" s="150">
        <f t="shared" si="5"/>
        <v>19128.407434723977</v>
      </c>
    </row>
    <row r="14" spans="1:23" ht="23.25" customHeight="1">
      <c r="A14" s="34">
        <v>9</v>
      </c>
      <c r="B14" s="31" t="s">
        <v>20</v>
      </c>
      <c r="C14" s="73">
        <f ca="1">+'Salaries (% Total Expenditure)'!C14+'Worksheet Pension &amp; RE'!C14+'IP as % of TRR'!C14</f>
        <v>660.83999999999992</v>
      </c>
      <c r="D14" s="73">
        <f ca="1">+'Salaries (% Total Expenditure)'!D14+'Worksheet Pension &amp; RE'!D14+'IP as % of TRR'!D14</f>
        <v>778.53000000000009</v>
      </c>
      <c r="E14" s="73">
        <f ca="1">+'Salaries (% Total Expenditure)'!E14+'Worksheet Pension &amp; RE'!E14+'IP as % of TRR'!E14</f>
        <v>1248.94</v>
      </c>
      <c r="F14" s="73">
        <f ca="1">+'Salaries (% Total Expenditure)'!F14+'Worksheet Pension &amp; RE'!F14+'IP as % of TRR'!F14</f>
        <v>1442.6999999999998</v>
      </c>
      <c r="G14" s="73">
        <f ca="1">+'Salaries (% Total Expenditure)'!G14+'Worksheet Pension &amp; RE'!G14+'IP as % of TRR'!G14</f>
        <v>1239.4299999999998</v>
      </c>
      <c r="H14" s="73">
        <f ca="1">+'Salaries (% Total Expenditure)'!H14+'Worksheet Pension &amp; RE'!H14+'IP as % of TRR'!H14</f>
        <v>1395.1000000000001</v>
      </c>
      <c r="I14" s="18">
        <f ca="1">+'Salaries (% Total Expenditure)'!I14+'Worksheet Pension &amp; RE'!I14+'IP as % of TRR'!I14</f>
        <v>1587.37</v>
      </c>
      <c r="J14" s="88">
        <f ca="1">+'Per Capita Total Expenditure'!J14</f>
        <v>5.8686606987809253E-2</v>
      </c>
      <c r="K14" s="88">
        <f ca="1">+'Per Capita Total Expenditure'!K14</f>
        <v>5.9510609330691619E-2</v>
      </c>
      <c r="L14" s="88">
        <f ca="1">+'Per Capita Total Expenditure'!L14</f>
        <v>6.0198829669929232E-2</v>
      </c>
      <c r="M14" s="88">
        <f ca="1">+'Per Capita Total Expenditure'!M14</f>
        <v>6.0896189017696341E-2</v>
      </c>
      <c r="N14" s="88">
        <f ca="1">+'Per Capita Total Expenditure'!N14</f>
        <v>6.1703338563007117E-2</v>
      </c>
      <c r="O14" s="174">
        <f ca="1">+'Per Capita Total Expenditure'!O14</f>
        <v>6.2303317009554E-2</v>
      </c>
      <c r="P14" s="174">
        <f ca="1">+'Per Capita Total Expenditure'!P14</f>
        <v>6.2909129405198355E-2</v>
      </c>
      <c r="Q14" s="150">
        <f t="shared" si="0"/>
        <v>11260.490832896059</v>
      </c>
      <c r="R14" s="150">
        <f t="shared" si="1"/>
        <v>13082.205152258222</v>
      </c>
      <c r="S14" s="150">
        <f t="shared" si="2"/>
        <v>20746.914962432827</v>
      </c>
      <c r="T14" s="150">
        <f t="shared" si="3"/>
        <v>23691.137709467392</v>
      </c>
      <c r="U14" s="150">
        <f t="shared" si="4"/>
        <v>20086.919587574357</v>
      </c>
      <c r="V14" s="150">
        <f t="shared" si="5"/>
        <v>22392.06621673235</v>
      </c>
      <c r="W14" s="150">
        <f t="shared" si="5"/>
        <v>25232.744674874346</v>
      </c>
    </row>
    <row r="15" spans="1:23" ht="23.25" customHeight="1">
      <c r="A15" s="34">
        <v>10</v>
      </c>
      <c r="B15" s="31" t="s">
        <v>21</v>
      </c>
      <c r="C15" s="73">
        <f ca="1">+'Salaries (% Total Expenditure)'!C15+'Worksheet Pension &amp; RE'!C15+'IP as % of TRR'!C15</f>
        <v>2010.7</v>
      </c>
      <c r="D15" s="73">
        <f ca="1">+'Salaries (% Total Expenditure)'!D15+'Worksheet Pension &amp; RE'!D15+'IP as % of TRR'!D15</f>
        <v>2125.3100000000004</v>
      </c>
      <c r="E15" s="73">
        <f ca="1">+'Salaries (% Total Expenditure)'!E15+'Worksheet Pension &amp; RE'!E15+'IP as % of TRR'!E15</f>
        <v>2975.1099999999997</v>
      </c>
      <c r="F15" s="73">
        <f ca="1">+'Salaries (% Total Expenditure)'!F15+'Worksheet Pension &amp; RE'!F15+'IP as % of TRR'!F15</f>
        <v>3208.31</v>
      </c>
      <c r="G15" s="73">
        <f ca="1">+'Salaries (% Total Expenditure)'!G15+'Worksheet Pension &amp; RE'!G15+'IP as % of TRR'!G15</f>
        <v>3379.38</v>
      </c>
      <c r="H15" s="73">
        <f ca="1">+'Salaries (% Total Expenditure)'!H15+'Worksheet Pension &amp; RE'!H15+'IP as % of TRR'!H15</f>
        <v>3570.3</v>
      </c>
      <c r="I15" s="18">
        <f ca="1">+'Salaries (% Total Expenditure)'!I15+'Worksheet Pension &amp; RE'!I15+'IP as % of TRR'!I15</f>
        <v>4393.66</v>
      </c>
      <c r="J15" s="88">
        <f ca="1">+'Per Capita Total Expenditure'!J15</f>
        <v>0.34739710716694622</v>
      </c>
      <c r="K15" s="88">
        <f ca="1">+'Per Capita Total Expenditure'!K15</f>
        <v>0.35149999999999998</v>
      </c>
      <c r="L15" s="88">
        <f ca="1">+'Per Capita Total Expenditure'!L15</f>
        <v>0.35569146059196433</v>
      </c>
      <c r="M15" s="88">
        <f ca="1">+'Per Capita Total Expenditure'!M15</f>
        <v>0.35989066234328076</v>
      </c>
      <c r="N15" s="88">
        <f ca="1">+'Per Capita Total Expenditure'!N15</f>
        <v>0.364107605762227</v>
      </c>
      <c r="O15" s="174">
        <f ca="1">+'Per Capita Total Expenditure'!O15</f>
        <v>0.36830654652793698</v>
      </c>
      <c r="P15" s="174">
        <f ca="1">+'Per Capita Total Expenditure'!P15</f>
        <v>0.37255391007656857</v>
      </c>
      <c r="Q15" s="150">
        <f t="shared" si="0"/>
        <v>5787.9008158629595</v>
      </c>
      <c r="R15" s="150">
        <f t="shared" si="1"/>
        <v>6046.4011379800868</v>
      </c>
      <c r="S15" s="150">
        <f t="shared" si="2"/>
        <v>8364.2997643199888</v>
      </c>
      <c r="T15" s="150">
        <f t="shared" si="3"/>
        <v>8914.6797505397954</v>
      </c>
      <c r="U15" s="150">
        <f t="shared" si="4"/>
        <v>9281.2672586873523</v>
      </c>
      <c r="V15" s="150">
        <f t="shared" si="5"/>
        <v>9693.8271493069533</v>
      </c>
      <c r="W15" s="150">
        <f t="shared" si="5"/>
        <v>11793.35360913807</v>
      </c>
    </row>
    <row r="16" spans="1:23" ht="23.25" customHeight="1">
      <c r="A16" s="34">
        <v>11</v>
      </c>
      <c r="B16" s="31" t="s">
        <v>22</v>
      </c>
      <c r="C16" s="73">
        <f ca="1">+'Salaries (% Total Expenditure)'!C16+'Worksheet Pension &amp; RE'!C16+'IP as % of TRR'!C16</f>
        <v>4021.08</v>
      </c>
      <c r="D16" s="73">
        <f ca="1">+'Salaries (% Total Expenditure)'!D16+'Worksheet Pension &amp; RE'!D16+'IP as % of TRR'!D16</f>
        <v>5365.67</v>
      </c>
      <c r="E16" s="73">
        <f ca="1">+'Salaries (% Total Expenditure)'!E16+'Worksheet Pension &amp; RE'!E16+'IP as % of TRR'!E16</f>
        <v>7196.4800000000005</v>
      </c>
      <c r="F16" s="73">
        <f ca="1">+'Salaries (% Total Expenditure)'!F16+'Worksheet Pension &amp; RE'!F16+'IP as % of TRR'!F16</f>
        <v>7587.4400000000005</v>
      </c>
      <c r="G16" s="73">
        <f ca="1">+'Salaries (% Total Expenditure)'!G16+'Worksheet Pension &amp; RE'!G16+'IP as % of TRR'!G16</f>
        <v>8416.1899999999987</v>
      </c>
      <c r="H16" s="73">
        <f ca="1">+'Salaries (% Total Expenditure)'!H16+'Worksheet Pension &amp; RE'!H16+'IP as % of TRR'!H16</f>
        <v>9500.7899999999991</v>
      </c>
      <c r="I16" s="18">
        <f ca="1">+'Salaries (% Total Expenditure)'!I16+'Worksheet Pension &amp; RE'!I16+'IP as % of TRR'!I16</f>
        <v>11934.58</v>
      </c>
      <c r="J16" s="88">
        <f ca="1">+'Per Capita Total Expenditure'!J16</f>
        <v>0.94510563135508641</v>
      </c>
      <c r="K16" s="88">
        <f ca="1">+'Per Capita Total Expenditure'!K16</f>
        <v>0.95970217145052783</v>
      </c>
      <c r="L16" s="88">
        <f ca="1">+'Per Capita Total Expenditure'!L16</f>
        <v>0.97419872524619677</v>
      </c>
      <c r="M16" s="88">
        <f ca="1">+'Per Capita Total Expenditure'!M16</f>
        <v>0.98849889594819762</v>
      </c>
      <c r="N16" s="88">
        <f ca="1">+'Per Capita Total Expenditure'!N16</f>
        <v>1.0027028941032057</v>
      </c>
      <c r="O16" s="174">
        <f ca="1">+'Per Capita Total Expenditure'!O16</f>
        <v>1.0167028955787056</v>
      </c>
      <c r="P16" s="174">
        <f ca="1">+'Per Capita Total Expenditure'!P16</f>
        <v>1.0305973600882343</v>
      </c>
      <c r="Q16" s="150">
        <f t="shared" si="0"/>
        <v>4254.6355313052163</v>
      </c>
      <c r="R16" s="150">
        <f t="shared" si="1"/>
        <v>5590.9741163658473</v>
      </c>
      <c r="S16" s="150">
        <f t="shared" si="2"/>
        <v>7387.0759769074075</v>
      </c>
      <c r="T16" s="150">
        <f t="shared" si="3"/>
        <v>7675.7192457174187</v>
      </c>
      <c r="U16" s="150">
        <f t="shared" si="4"/>
        <v>8393.5032495615214</v>
      </c>
      <c r="V16" s="150">
        <f t="shared" si="5"/>
        <v>9344.7063456942014</v>
      </c>
      <c r="W16" s="150">
        <f t="shared" si="5"/>
        <v>11580.254774743673</v>
      </c>
    </row>
    <row r="17" spans="1:23" s="39" customFormat="1" ht="23.25" customHeight="1">
      <c r="A17" s="90"/>
      <c r="B17" s="32" t="s">
        <v>23</v>
      </c>
      <c r="C17" s="74">
        <f t="shared" ref="C17:O17" si="6">SUM(C6:C16)</f>
        <v>34982.120000000003</v>
      </c>
      <c r="D17" s="74">
        <f t="shared" si="6"/>
        <v>38252.729999999996</v>
      </c>
      <c r="E17" s="66">
        <f ca="1">SUM(E6:E16)</f>
        <v>47636.570000000007</v>
      </c>
      <c r="F17" s="66">
        <f t="shared" si="6"/>
        <v>61819.819999999992</v>
      </c>
      <c r="G17" s="66">
        <f t="shared" si="6"/>
        <v>63892.149999999994</v>
      </c>
      <c r="H17" s="66">
        <f t="shared" si="6"/>
        <v>71616.509999999995</v>
      </c>
      <c r="I17" s="66">
        <f ca="1">SUM(I6:I16)</f>
        <v>86379.78</v>
      </c>
      <c r="J17" s="87">
        <f t="shared" si="6"/>
        <v>6.9889361100452803</v>
      </c>
      <c r="K17" s="87">
        <f t="shared" si="6"/>
        <v>7.0857364124359776</v>
      </c>
      <c r="L17" s="87">
        <f t="shared" si="6"/>
        <v>7.182007753803493</v>
      </c>
      <c r="M17" s="87">
        <f t="shared" si="6"/>
        <v>7.2768279168079326</v>
      </c>
      <c r="N17" s="87">
        <f t="shared" si="6"/>
        <v>7.3822143219488803</v>
      </c>
      <c r="O17" s="175">
        <f t="shared" si="6"/>
        <v>7.4811339306593041</v>
      </c>
      <c r="P17" s="175">
        <f ca="1">SUM(P6:P16)</f>
        <v>7.5800299505581084</v>
      </c>
      <c r="Q17" s="151">
        <f t="shared" si="0"/>
        <v>5005.3569597981859</v>
      </c>
      <c r="R17" s="151">
        <f t="shared" si="1"/>
        <v>5398.5539079415512</v>
      </c>
      <c r="S17" s="151">
        <f>+E17/L17</f>
        <v>6632.7650474579805</v>
      </c>
      <c r="T17" s="151">
        <f>+F17/M17</f>
        <v>8495.4351960432232</v>
      </c>
      <c r="U17" s="151">
        <f>+G17/N17</f>
        <v>8654.8760593464704</v>
      </c>
      <c r="V17" s="151">
        <f>+H17/O17</f>
        <v>9572.9485214133183</v>
      </c>
      <c r="W17" s="151">
        <f>+I17/P17</f>
        <v>11395.704312967782</v>
      </c>
    </row>
    <row r="18" spans="1:23" ht="23.25" customHeight="1">
      <c r="A18" s="34"/>
      <c r="B18" s="32" t="s">
        <v>189</v>
      </c>
      <c r="C18" s="73"/>
      <c r="D18" s="73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55"/>
      <c r="P18" s="55"/>
      <c r="Q18" s="150"/>
      <c r="R18" s="150"/>
      <c r="S18" s="150"/>
      <c r="T18" s="150"/>
      <c r="U18" s="150"/>
      <c r="V18" s="150"/>
      <c r="W18" s="150"/>
    </row>
    <row r="19" spans="1:23" ht="23.25" customHeight="1">
      <c r="A19" s="34">
        <v>12</v>
      </c>
      <c r="B19" s="31" t="s">
        <v>25</v>
      </c>
      <c r="C19" s="73">
        <f ca="1">+'Salaries (% Total Expenditure)'!C19+'Worksheet Pension &amp; RE'!C19+'IP as % of TRR'!C19</f>
        <v>25382.06</v>
      </c>
      <c r="D19" s="73">
        <f ca="1">+'Salaries (% Total Expenditure)'!D19+'Worksheet Pension &amp; RE'!D19+'IP as % of TRR'!D19</f>
        <v>27852.86</v>
      </c>
      <c r="E19" s="73">
        <f ca="1">+'Salaries (% Total Expenditure)'!E19+'Worksheet Pension &amp; RE'!E19+'IP as % of TRR'!E19</f>
        <v>32660.03</v>
      </c>
      <c r="F19" s="73">
        <f ca="1">+'Salaries (% Total Expenditure)'!F19+'Worksheet Pension &amp; RE'!F19+'IP as % of TRR'!F19</f>
        <v>42724.23</v>
      </c>
      <c r="G19" s="73">
        <f ca="1">+'Salaries (% Total Expenditure)'!G19+'Worksheet Pension &amp; RE'!G19+'IP as % of TRR'!G19</f>
        <v>48066.819999999992</v>
      </c>
      <c r="H19" s="73">
        <f ca="1">+'Salaries (% Total Expenditure)'!H19+'Worksheet Pension &amp; RE'!H19+'IP as % of TRR'!H19</f>
        <v>49522.619999999995</v>
      </c>
      <c r="I19" s="18">
        <f ca="1">+'Salaries (% Total Expenditure)'!I19+'Worksheet Pension &amp; RE'!I19+'IP as % of TRR'!I19</f>
        <v>60844.899999999994</v>
      </c>
      <c r="J19" s="88">
        <f ca="1">+'Per Capita Total Expenditure'!J19</f>
        <v>8.2049105722030351</v>
      </c>
      <c r="K19" s="88">
        <f ca="1">+'Per Capita Total Expenditure'!K19</f>
        <v>8.2858010788663012</v>
      </c>
      <c r="L19" s="88">
        <f ca="1">+'Per Capita Total Expenditure'!L19</f>
        <v>8.3648937394377469</v>
      </c>
      <c r="M19" s="88">
        <f ca="1">+'Per Capita Total Expenditure'!M19</f>
        <v>8.442601287239448</v>
      </c>
      <c r="N19" s="88">
        <f ca="1">+'Per Capita Total Expenditure'!N19</f>
        <v>8.5187932608680885</v>
      </c>
      <c r="O19" s="174">
        <f ca="1">+'Per Capita Total Expenditure'!O19</f>
        <v>8.5934986068512735</v>
      </c>
      <c r="P19" s="174">
        <f ca="1">+'Per Capita Total Expenditure'!P19</f>
        <v>8.6663001545567955</v>
      </c>
      <c r="Q19" s="150">
        <f t="shared" ref="Q19:Q36" si="7">+C19/J19</f>
        <v>3093.5206150802528</v>
      </c>
      <c r="R19" s="150">
        <f t="shared" ref="R19:R36" si="8">+D19/K19</f>
        <v>3361.5168569568109</v>
      </c>
      <c r="S19" s="150">
        <f>+E19/L19</f>
        <v>3904.4166031683826</v>
      </c>
      <c r="T19" s="150">
        <f>+F19/M19</f>
        <v>5060.5528493422344</v>
      </c>
      <c r="U19" s="150">
        <f>+G19/N19</f>
        <v>5642.4447134783322</v>
      </c>
      <c r="V19" s="150">
        <f>+H19/O19</f>
        <v>5762.8007247848354</v>
      </c>
      <c r="W19" s="150">
        <f>+I19/P19</f>
        <v>7020.8622958907508</v>
      </c>
    </row>
    <row r="20" spans="1:23" ht="23.25" customHeight="1">
      <c r="A20" s="34">
        <v>13</v>
      </c>
      <c r="B20" s="31" t="s">
        <v>26</v>
      </c>
      <c r="C20" s="73">
        <f ca="1">+'Salaries (% Total Expenditure)'!C20+'Worksheet Pension &amp; RE'!C20+'IP as % of TRR'!C20</f>
        <v>12980.69</v>
      </c>
      <c r="D20" s="73">
        <f ca="1">+'Salaries (% Total Expenditure)'!D20+'Worksheet Pension &amp; RE'!D20+'IP as % of TRR'!D20</f>
        <v>14890.460000000001</v>
      </c>
      <c r="E20" s="73">
        <f ca="1">+'Salaries (% Total Expenditure)'!E20+'Worksheet Pension &amp; RE'!E20+'IP as % of TRR'!E20</f>
        <v>17576.87</v>
      </c>
      <c r="F20" s="73">
        <f ca="1">+'Salaries (% Total Expenditure)'!F20+'Worksheet Pension &amp; RE'!F20+'IP as % of TRR'!F20</f>
        <v>21012.87</v>
      </c>
      <c r="G20" s="73">
        <f ca="1">+'Salaries (% Total Expenditure)'!G20+'Worksheet Pension &amp; RE'!G20+'IP as % of TRR'!G20</f>
        <v>24305.800000000003</v>
      </c>
      <c r="H20" s="73">
        <f ca="1">+'Salaries (% Total Expenditure)'!H20+'Worksheet Pension &amp; RE'!H20+'IP as % of TRR'!H20</f>
        <v>26348.94</v>
      </c>
      <c r="I20" s="18">
        <f ca="1">+'Salaries (% Total Expenditure)'!I20+'Worksheet Pension &amp; RE'!I20+'IP as % of TRR'!I20</f>
        <v>34838.189999999995</v>
      </c>
      <c r="J20" s="88">
        <f ca="1">+'Per Capita Total Expenditure'!J20</f>
        <v>9.3071215274635772</v>
      </c>
      <c r="K20" s="88">
        <f ca="1">+'Per Capita Total Expenditure'!K20</f>
        <v>9.447115384615385</v>
      </c>
      <c r="L20" s="88">
        <f ca="1">+'Per Capita Total Expenditure'!L20</f>
        <v>9.5847835931940217</v>
      </c>
      <c r="M20" s="88">
        <f ca="1">+'Per Capita Total Expenditure'!M20</f>
        <v>9.7190285088862254</v>
      </c>
      <c r="N20" s="88">
        <f ca="1">+'Per Capita Total Expenditure'!N20</f>
        <v>9.8504778946449623</v>
      </c>
      <c r="O20" s="174">
        <f ca="1">+'Per Capita Total Expenditure'!O20</f>
        <v>9.9787655522346554</v>
      </c>
      <c r="P20" s="174">
        <f ca="1">+'Per Capita Total Expenditure'!P20</f>
        <v>10.103589467706746</v>
      </c>
      <c r="Q20" s="150">
        <f t="shared" si="7"/>
        <v>1394.7051149699087</v>
      </c>
      <c r="R20" s="150">
        <f t="shared" si="8"/>
        <v>1576.1911857506361</v>
      </c>
      <c r="S20" s="150">
        <f t="shared" ref="S20:S35" si="9">+E20/L20</f>
        <v>1833.8306576354014</v>
      </c>
      <c r="T20" s="150">
        <f t="shared" ref="T20:T35" si="10">+F20/M20</f>
        <v>2162.0339914413953</v>
      </c>
      <c r="U20" s="150">
        <f t="shared" ref="U20:U35" si="11">+G20/N20</f>
        <v>2467.4741936341402</v>
      </c>
      <c r="V20" s="150">
        <f t="shared" ref="V20:W35" si="12">+H20/O20</f>
        <v>2640.5009579666284</v>
      </c>
      <c r="W20" s="150">
        <f t="shared" si="12"/>
        <v>3448.1003124038616</v>
      </c>
    </row>
    <row r="21" spans="1:23" ht="23.25" customHeight="1">
      <c r="A21" s="34">
        <v>14</v>
      </c>
      <c r="B21" s="31" t="s">
        <v>27</v>
      </c>
      <c r="C21" s="73">
        <f ca="1">+'Salaries (% Total Expenditure)'!C21+'Worksheet Pension &amp; RE'!C21+'IP as % of TRR'!C21</f>
        <v>4618.59</v>
      </c>
      <c r="D21" s="73">
        <f ca="1">+'Salaries (% Total Expenditure)'!D21+'Worksheet Pension &amp; RE'!D21+'IP as % of TRR'!D21</f>
        <v>5538.63</v>
      </c>
      <c r="E21" s="73">
        <f ca="1">+'Salaries (% Total Expenditure)'!E21+'Worksheet Pension &amp; RE'!E21+'IP as % of TRR'!E21</f>
        <v>7159</v>
      </c>
      <c r="F21" s="73">
        <f ca="1">+'Salaries (% Total Expenditure)'!F21+'Worksheet Pension &amp; RE'!F21+'IP as % of TRR'!F21</f>
        <v>8955.4599999999991</v>
      </c>
      <c r="G21" s="73">
        <f ca="1">+'Salaries (% Total Expenditure)'!G21+'Worksheet Pension &amp; RE'!G21+'IP as % of TRR'!G21</f>
        <v>10006.370000000001</v>
      </c>
      <c r="H21" s="73">
        <f ca="1">+'Salaries (% Total Expenditure)'!H21+'Worksheet Pension &amp; RE'!H21+'IP as % of TRR'!H21</f>
        <v>10745.32</v>
      </c>
      <c r="I21" s="18">
        <f ca="1">+'Salaries (% Total Expenditure)'!I21+'Worksheet Pension &amp; RE'!I21+'IP as % of TRR'!I21</f>
        <v>12137.64</v>
      </c>
      <c r="J21" s="88">
        <f ca="1">+'Per Capita Total Expenditure'!J21</f>
        <v>2.3600051645376707</v>
      </c>
      <c r="K21" s="88">
        <f ca="1">+'Per Capita Total Expenditure'!K21</f>
        <v>2.4100081489002609</v>
      </c>
      <c r="L21" s="88">
        <f ca="1">+'Per Capita Total Expenditure'!L21</f>
        <v>2.4500040731360064</v>
      </c>
      <c r="M21" s="88">
        <f ca="1">+'Per Capita Total Expenditure'!M21</f>
        <v>2.5000080165835423</v>
      </c>
      <c r="N21" s="88">
        <f ca="1">+'Per Capita Total Expenditure'!N21</f>
        <v>2.5499995506094</v>
      </c>
      <c r="O21" s="174">
        <f ca="1">+'Per Capita Total Expenditure'!O21</f>
        <v>2.5999966463365363</v>
      </c>
      <c r="P21" s="174">
        <f ca="1">+'Per Capita Total Expenditure'!P21</f>
        <v>2.6499933321582394</v>
      </c>
      <c r="Q21" s="150">
        <f t="shared" si="7"/>
        <v>1957.0253783341996</v>
      </c>
      <c r="R21" s="150">
        <f t="shared" si="8"/>
        <v>2298.1789511904335</v>
      </c>
      <c r="S21" s="150">
        <f t="shared" si="9"/>
        <v>2922.0359584286225</v>
      </c>
      <c r="T21" s="150">
        <f t="shared" si="10"/>
        <v>3582.1725132859133</v>
      </c>
      <c r="U21" s="150">
        <f t="shared" si="11"/>
        <v>3924.0673582113668</v>
      </c>
      <c r="V21" s="150">
        <f t="shared" si="12"/>
        <v>4132.8207154191678</v>
      </c>
      <c r="W21" s="150">
        <f t="shared" si="12"/>
        <v>4580.2530341141337</v>
      </c>
    </row>
    <row r="22" spans="1:23" ht="23.25" customHeight="1">
      <c r="A22" s="34">
        <v>15</v>
      </c>
      <c r="B22" s="31" t="s">
        <v>28</v>
      </c>
      <c r="C22" s="73">
        <f ca="1">+'Salaries (% Total Expenditure)'!C22+'Worksheet Pension &amp; RE'!C22+'IP as % of TRR'!C22</f>
        <v>1056.94</v>
      </c>
      <c r="D22" s="73">
        <f ca="1">+'Salaries (% Total Expenditure)'!D22+'Worksheet Pension &amp; RE'!D22+'IP as % of TRR'!D22</f>
        <v>1306.1500000000001</v>
      </c>
      <c r="E22" s="73">
        <f ca="1">+'Salaries (% Total Expenditure)'!E22+'Worksheet Pension &amp; RE'!E22+'IP as % of TRR'!E22</f>
        <v>1830.6399999999999</v>
      </c>
      <c r="F22" s="73">
        <f ca="1">+'Salaries (% Total Expenditure)'!F22+'Worksheet Pension &amp; RE'!F22+'IP as % of TRR'!F22</f>
        <v>2023.81</v>
      </c>
      <c r="G22" s="73">
        <f ca="1">+'Salaries (% Total Expenditure)'!G22+'Worksheet Pension &amp; RE'!G22+'IP as % of TRR'!G22</f>
        <v>2242.52</v>
      </c>
      <c r="H22" s="73">
        <f ca="1">+'Salaries (% Total Expenditure)'!H22+'Worksheet Pension &amp; RE'!H22+'IP as % of TRR'!H22</f>
        <v>2521.12</v>
      </c>
      <c r="I22" s="55" t="s">
        <v>182</v>
      </c>
      <c r="J22" s="88">
        <f ca="1">+'Per Capita Total Expenditure'!J22</f>
        <v>0.15679555866746628</v>
      </c>
      <c r="K22" s="88">
        <f ca="1">+'Per Capita Total Expenditure'!K22</f>
        <v>0.162901478389751</v>
      </c>
      <c r="L22" s="88">
        <f ca="1">+'Per Capita Total Expenditure'!L22</f>
        <v>0.16910248918796544</v>
      </c>
      <c r="M22" s="88">
        <f ca="1">+'Per Capita Total Expenditure'!M22</f>
        <v>0.1748975140492266</v>
      </c>
      <c r="N22" s="88">
        <f ca="1">+'Per Capita Total Expenditure'!N22</f>
        <v>0.17990183284384029</v>
      </c>
      <c r="O22" s="174">
        <f ca="1">+'Per Capita Total Expenditure'!O22</f>
        <v>0.18469699885904853</v>
      </c>
      <c r="P22" s="174">
        <f ca="1">+'Per Capita Total Expenditure'!P22</f>
        <v>0.18961997689679111</v>
      </c>
      <c r="Q22" s="150">
        <f t="shared" si="7"/>
        <v>6740.8797097471997</v>
      </c>
      <c r="R22" s="150">
        <f t="shared" si="8"/>
        <v>8018.0365022529895</v>
      </c>
      <c r="S22" s="150">
        <f t="shared" si="9"/>
        <v>10825.624204532889</v>
      </c>
      <c r="T22" s="150">
        <f t="shared" si="10"/>
        <v>11571.405179780766</v>
      </c>
      <c r="U22" s="150">
        <f t="shared" si="11"/>
        <v>12465.242652344563</v>
      </c>
      <c r="V22" s="150">
        <f t="shared" si="12"/>
        <v>13650.032299247006</v>
      </c>
      <c r="W22" s="256" t="s">
        <v>182</v>
      </c>
    </row>
    <row r="23" spans="1:23" ht="23.25" customHeight="1">
      <c r="A23" s="34">
        <v>16</v>
      </c>
      <c r="B23" s="31" t="s">
        <v>29</v>
      </c>
      <c r="C23" s="73">
        <f ca="1">+'Salaries (% Total Expenditure)'!C23+'Worksheet Pension &amp; RE'!C23+'IP as % of TRR'!C23</f>
        <v>17817.04</v>
      </c>
      <c r="D23" s="73">
        <f ca="1">+'Salaries (% Total Expenditure)'!D23+'Worksheet Pension &amp; RE'!D23+'IP as % of TRR'!D23</f>
        <v>18200.07</v>
      </c>
      <c r="E23" s="73">
        <f ca="1">+'Salaries (% Total Expenditure)'!E23+'Worksheet Pension &amp; RE'!E23+'IP as % of TRR'!E23</f>
        <v>20456.3</v>
      </c>
      <c r="F23" s="73">
        <f ca="1">+'Salaries (% Total Expenditure)'!F23+'Worksheet Pension &amp; RE'!F23+'IP as % of TRR'!F23</f>
        <v>30614.760000000002</v>
      </c>
      <c r="G23" s="73">
        <f ca="1">+'Salaries (% Total Expenditure)'!G23+'Worksheet Pension &amp; RE'!G23+'IP as % of TRR'!G23</f>
        <v>32300.17</v>
      </c>
      <c r="H23" s="73">
        <f ca="1">+'Salaries (% Total Expenditure)'!H23+'Worksheet Pension &amp; RE'!H23+'IP as % of TRR'!H23</f>
        <v>37533.57</v>
      </c>
      <c r="I23" s="18">
        <f ca="1">+'Salaries (% Total Expenditure)'!I23+'Worksheet Pension &amp; RE'!I23+'IP as % of TRR'!I23</f>
        <v>41439.81</v>
      </c>
      <c r="J23" s="88">
        <f ca="1">+'Per Capita Total Expenditure'!J23</f>
        <v>5.6298000000000004</v>
      </c>
      <c r="K23" s="88">
        <f ca="1">+'Per Capita Total Expenditure'!K23</f>
        <v>5.7108999999999996</v>
      </c>
      <c r="L23" s="88">
        <f ca="1">+'Per Capita Total Expenditure'!L23</f>
        <v>5.7909999999999995</v>
      </c>
      <c r="M23" s="88">
        <f ca="1">+'Per Capita Total Expenditure'!M23</f>
        <v>5.8702021944076384</v>
      </c>
      <c r="N23" s="88">
        <f ca="1">+'Per Capita Total Expenditure'!N23</f>
        <v>5.948499647126325</v>
      </c>
      <c r="O23" s="174">
        <f ca="1">+'Per Capita Total Expenditure'!O23</f>
        <v>6.0259024144959765</v>
      </c>
      <c r="P23" s="174">
        <f ca="1">+'Per Capita Total Expenditure'!P23</f>
        <v>6.1043123582549512</v>
      </c>
      <c r="Q23" s="150">
        <f t="shared" si="7"/>
        <v>3164.7731713382359</v>
      </c>
      <c r="R23" s="150">
        <f t="shared" si="8"/>
        <v>3186.9004885394597</v>
      </c>
      <c r="S23" s="150">
        <f t="shared" si="9"/>
        <v>3532.4296321878778</v>
      </c>
      <c r="T23" s="150">
        <f t="shared" si="10"/>
        <v>5215.2820271107094</v>
      </c>
      <c r="U23" s="150">
        <f t="shared" si="11"/>
        <v>5429.9692218362934</v>
      </c>
      <c r="V23" s="150">
        <f t="shared" si="12"/>
        <v>6228.7052491439017</v>
      </c>
      <c r="W23" s="150">
        <f t="shared" si="12"/>
        <v>6788.6123068326169</v>
      </c>
    </row>
    <row r="24" spans="1:23" ht="23.25" customHeight="1">
      <c r="A24" s="34">
        <v>17</v>
      </c>
      <c r="B24" s="31" t="s">
        <v>30</v>
      </c>
      <c r="C24" s="73">
        <f ca="1">+'Salaries (% Total Expenditure)'!C24+'Worksheet Pension &amp; RE'!C24+'IP as % of TRR'!C24</f>
        <v>7860</v>
      </c>
      <c r="D24" s="73">
        <f ca="1">+'Salaries (% Total Expenditure)'!D24+'Worksheet Pension &amp; RE'!D24+'IP as % of TRR'!D24</f>
        <v>10212</v>
      </c>
      <c r="E24" s="73">
        <f ca="1">+'Salaries (% Total Expenditure)'!E24+'Worksheet Pension &amp; RE'!E24+'IP as % of TRR'!E24</f>
        <v>13555</v>
      </c>
      <c r="F24" s="73">
        <f ca="1">+'Salaries (% Total Expenditure)'!F24+'Worksheet Pension &amp; RE'!F24+'IP as % of TRR'!F24</f>
        <v>15936</v>
      </c>
      <c r="G24" s="73">
        <f ca="1">+'Salaries (% Total Expenditure)'!G24+'Worksheet Pension &amp; RE'!G24+'IP as % of TRR'!G24</f>
        <v>16920</v>
      </c>
      <c r="H24" s="73">
        <f ca="1">+'Salaries (% Total Expenditure)'!H24+'Worksheet Pension &amp; RE'!H24+'IP as % of TRR'!H24</f>
        <v>19479</v>
      </c>
      <c r="I24" s="18">
        <f ca="1">+'Salaries (% Total Expenditure)'!I24+'Worksheet Pension &amp; RE'!I24+'IP as % of TRR'!I24</f>
        <v>22910</v>
      </c>
      <c r="J24" s="88">
        <f ca="1">+'Per Capita Total Expenditure'!J24</f>
        <v>2.3997014055534507</v>
      </c>
      <c r="K24" s="88">
        <f ca="1">+'Per Capita Total Expenditure'!K24</f>
        <v>2.4424955492804443</v>
      </c>
      <c r="L24" s="88">
        <f ca="1">+'Per Capita Total Expenditure'!L24</f>
        <v>2.484900975164102</v>
      </c>
      <c r="M24" s="88">
        <f ca="1">+'Per Capita Total Expenditure'!M24</f>
        <v>2.5269968034683274</v>
      </c>
      <c r="N24" s="88">
        <f ca="1">+'Per Capita Total Expenditure'!N24</f>
        <v>2.5685961700388047</v>
      </c>
      <c r="O24" s="174">
        <f ca="1">+'Per Capita Total Expenditure'!O24</f>
        <v>2.6099005816267726</v>
      </c>
      <c r="P24" s="174">
        <f ca="1">+'Per Capita Total Expenditure'!P24</f>
        <v>2.6510010369823895</v>
      </c>
      <c r="Q24" s="150">
        <f t="shared" si="7"/>
        <v>3275.4075077049943</v>
      </c>
      <c r="R24" s="150">
        <f t="shared" si="8"/>
        <v>4180.9697475225457</v>
      </c>
      <c r="S24" s="150">
        <f t="shared" si="9"/>
        <v>5454.9457445099324</v>
      </c>
      <c r="T24" s="150">
        <f t="shared" si="10"/>
        <v>6306.3000230659918</v>
      </c>
      <c r="U24" s="150">
        <f t="shared" si="11"/>
        <v>6587.2557926240243</v>
      </c>
      <c r="V24" s="150">
        <f t="shared" si="12"/>
        <v>7463.5026855538608</v>
      </c>
      <c r="W24" s="150">
        <f t="shared" si="12"/>
        <v>8642.0184980682789</v>
      </c>
    </row>
    <row r="25" spans="1:23" ht="23.25" customHeight="1">
      <c r="A25" s="34">
        <v>18</v>
      </c>
      <c r="B25" s="31" t="s">
        <v>31</v>
      </c>
      <c r="C25" s="73">
        <f ca="1">+'Salaries (% Total Expenditure)'!C25+'Worksheet Pension &amp; RE'!C25+'IP as % of TRR'!C25</f>
        <v>5743.08</v>
      </c>
      <c r="D25" s="73">
        <f ca="1">+'Salaries (% Total Expenditure)'!D25+'Worksheet Pension &amp; RE'!D25+'IP as % of TRR'!D25</f>
        <v>6823.02</v>
      </c>
      <c r="E25" s="73">
        <f ca="1">+'Salaries (% Total Expenditure)'!E25+'Worksheet Pension &amp; RE'!E25+'IP as % of TRR'!E25</f>
        <v>9382.3499999999985</v>
      </c>
      <c r="F25" s="73">
        <f ca="1">+'Salaries (% Total Expenditure)'!F25+'Worksheet Pension &amp; RE'!F25+'IP as % of TRR'!F25</f>
        <v>10120.36</v>
      </c>
      <c r="G25" s="73">
        <f ca="1">+'Salaries (% Total Expenditure)'!G25+'Worksheet Pension &amp; RE'!G25+'IP as % of TRR'!G25</f>
        <v>10869.35</v>
      </c>
      <c r="H25" s="73">
        <f ca="1">+'Salaries (% Total Expenditure)'!H25+'Worksheet Pension &amp; RE'!H25+'IP as % of TRR'!H25</f>
        <v>11768.460000000001</v>
      </c>
      <c r="I25" s="18">
        <f ca="1">+'Salaries (% Total Expenditure)'!I25+'Worksheet Pension &amp; RE'!I25+'IP as % of TRR'!I25</f>
        <v>13679.49</v>
      </c>
      <c r="J25" s="88">
        <f ca="1">+'Per Capita Total Expenditure'!J25</f>
        <v>3.0008471499455402</v>
      </c>
      <c r="K25" s="88">
        <f ca="1">+'Per Capita Total Expenditure'!K25</f>
        <v>3.0437594825521042</v>
      </c>
      <c r="L25" s="88">
        <f ca="1">+'Per Capita Total Expenditure'!L25</f>
        <v>3.0865606065974558</v>
      </c>
      <c r="M25" s="88">
        <f ca="1">+'Per Capita Total Expenditure'!M25</f>
        <v>3.1292877509288326</v>
      </c>
      <c r="N25" s="88">
        <f ca="1">+'Per Capita Total Expenditure'!N25</f>
        <v>3.1727296181630549</v>
      </c>
      <c r="O25" s="174">
        <f ca="1">+'Per Capita Total Expenditure'!O25</f>
        <v>3.2158928368713817</v>
      </c>
      <c r="P25" s="174">
        <f ca="1">+'Per Capita Total Expenditure'!P25</f>
        <v>3.2587730673316706</v>
      </c>
      <c r="Q25" s="150">
        <f t="shared" si="7"/>
        <v>1913.8195692853687</v>
      </c>
      <c r="R25" s="150">
        <f t="shared" si="8"/>
        <v>2241.6422976624604</v>
      </c>
      <c r="S25" s="150">
        <f t="shared" si="9"/>
        <v>3039.7426766691156</v>
      </c>
      <c r="T25" s="150">
        <f t="shared" si="10"/>
        <v>3234.0777855906936</v>
      </c>
      <c r="U25" s="150">
        <f t="shared" si="11"/>
        <v>3425.8670949379953</v>
      </c>
      <c r="V25" s="150">
        <f t="shared" si="12"/>
        <v>3659.4689552681371</v>
      </c>
      <c r="W25" s="150">
        <f t="shared" si="12"/>
        <v>4197.7424378313517</v>
      </c>
    </row>
    <row r="26" spans="1:23" ht="23.25" customHeight="1">
      <c r="A26" s="34">
        <v>19</v>
      </c>
      <c r="B26" s="31" t="s">
        <v>32</v>
      </c>
      <c r="C26" s="73">
        <f ca="1">+'Salaries (% Total Expenditure)'!C26+'Worksheet Pension &amp; RE'!C26+'IP as % of TRR'!C26</f>
        <v>15710.58</v>
      </c>
      <c r="D26" s="73">
        <f ca="1">+'Salaries (% Total Expenditure)'!D26+'Worksheet Pension &amp; RE'!D26+'IP as % of TRR'!D26</f>
        <v>17900.66</v>
      </c>
      <c r="E26" s="73">
        <f ca="1">+'Salaries (% Total Expenditure)'!E26+'Worksheet Pension &amp; RE'!E26+'IP as % of TRR'!E26</f>
        <v>18064.91</v>
      </c>
      <c r="F26" s="73">
        <f ca="1">+'Salaries (% Total Expenditure)'!F26+'Worksheet Pension &amp; RE'!F26+'IP as % of TRR'!F26</f>
        <v>19662</v>
      </c>
      <c r="G26" s="73">
        <f ca="1">+'Salaries (% Total Expenditure)'!G26+'Worksheet Pension &amp; RE'!G26+'IP as % of TRR'!G26</f>
        <v>23044</v>
      </c>
      <c r="H26" s="73">
        <f ca="1">+'Salaries (% Total Expenditure)'!H26+'Worksheet Pension &amp; RE'!H26+'IP as % of TRR'!H26</f>
        <v>29760</v>
      </c>
      <c r="I26" s="18">
        <f ca="1">+'Salaries (% Total Expenditure)'!I26+'Worksheet Pension &amp; RE'!I26+'IP as % of TRR'!I26</f>
        <v>34382</v>
      </c>
      <c r="J26" s="88">
        <f ca="1">+'Per Capita Total Expenditure'!J26</f>
        <v>5.7291905302781014</v>
      </c>
      <c r="K26" s="88">
        <f ca="1">+'Per Capita Total Expenditure'!K26</f>
        <v>5.7926970774320905</v>
      </c>
      <c r="L26" s="88">
        <f ca="1">+'Per Capita Total Expenditure'!L26</f>
        <v>5.8551917871433741</v>
      </c>
      <c r="M26" s="88">
        <f ca="1">+'Per Capita Total Expenditure'!M26</f>
        <v>5.916993574387031</v>
      </c>
      <c r="N26" s="88">
        <f ca="1">+'Per Capita Total Expenditure'!N26</f>
        <v>5.9780004397086586</v>
      </c>
      <c r="O26" s="174">
        <f ca="1">+'Per Capita Total Expenditure'!O26</f>
        <v>6.0381984477971473</v>
      </c>
      <c r="P26" s="174">
        <f ca="1">+'Per Capita Total Expenditure'!P26</f>
        <v>6.0975055307113211</v>
      </c>
      <c r="Q26" s="150">
        <f t="shared" si="7"/>
        <v>2742.1989052330209</v>
      </c>
      <c r="R26" s="150">
        <f t="shared" si="8"/>
        <v>3090.2116511045633</v>
      </c>
      <c r="S26" s="150">
        <f t="shared" si="9"/>
        <v>3085.2806631656881</v>
      </c>
      <c r="T26" s="150">
        <f t="shared" si="10"/>
        <v>3322.9713287354512</v>
      </c>
      <c r="U26" s="150">
        <f t="shared" si="11"/>
        <v>3854.800653230307</v>
      </c>
      <c r="V26" s="150">
        <f t="shared" si="12"/>
        <v>4928.6223792225692</v>
      </c>
      <c r="W26" s="150">
        <f t="shared" si="12"/>
        <v>5638.6992724857892</v>
      </c>
    </row>
    <row r="27" spans="1:23" ht="23.25" customHeight="1">
      <c r="A27" s="34">
        <v>20</v>
      </c>
      <c r="B27" s="31" t="s">
        <v>33</v>
      </c>
      <c r="C27" s="73">
        <f ca="1">+'Salaries (% Total Expenditure)'!C27+'Worksheet Pension &amp; RE'!C27+'IP as % of TRR'!C27</f>
        <v>16621.3</v>
      </c>
      <c r="D27" s="73">
        <f ca="1">+'Salaries (% Total Expenditure)'!D27+'Worksheet Pension &amp; RE'!D27+'IP as % of TRR'!D27</f>
        <v>18147.07</v>
      </c>
      <c r="E27" s="73">
        <f ca="1">+'Salaries (% Total Expenditure)'!E27+'Worksheet Pension &amp; RE'!E27+'IP as % of TRR'!E27</f>
        <v>19797.36</v>
      </c>
      <c r="F27" s="73">
        <f ca="1">+'Salaries (% Total Expenditure)'!F27+'Worksheet Pension &amp; RE'!F27+'IP as % of TRR'!F27</f>
        <v>22155.469999999998</v>
      </c>
      <c r="G27" s="73">
        <f ca="1">+'Salaries (% Total Expenditure)'!G27+'Worksheet Pension &amp; RE'!G27+'IP as % of TRR'!G27</f>
        <v>28509.35</v>
      </c>
      <c r="H27" s="73">
        <f ca="1">+'Salaries (% Total Expenditure)'!H27+'Worksheet Pension &amp; RE'!H27+'IP as % of TRR'!H27</f>
        <v>32178.060000000005</v>
      </c>
      <c r="I27" s="18">
        <f ca="1">+'Salaries (% Total Expenditure)'!I27+'Worksheet Pension &amp; RE'!I27+'IP as % of TRR'!I27</f>
        <v>35810.629999999997</v>
      </c>
      <c r="J27" s="88">
        <f ca="1">+'Per Capita Total Expenditure'!J27</f>
        <v>3.3693873085339168</v>
      </c>
      <c r="K27" s="88">
        <f ca="1">+'Per Capita Total Expenditure'!K27</f>
        <v>3.395807412434491</v>
      </c>
      <c r="L27" s="88">
        <f ca="1">+'Per Capita Total Expenditure'!L27</f>
        <v>3.4216119284030153</v>
      </c>
      <c r="M27" s="88">
        <f ca="1">+'Per Capita Total Expenditure'!M27</f>
        <v>3.4467125879500977</v>
      </c>
      <c r="N27" s="88">
        <f ca="1">+'Per Capita Total Expenditure'!N27</f>
        <v>3.4707923507724496</v>
      </c>
      <c r="O27" s="174">
        <f ca="1">+'Per Capita Total Expenditure'!O27</f>
        <v>3.4942108057428807</v>
      </c>
      <c r="P27" s="174">
        <f ca="1">+'Per Capita Total Expenditure'!P27</f>
        <v>3.517787271904353</v>
      </c>
      <c r="Q27" s="150">
        <f t="shared" si="7"/>
        <v>4933.0333612588565</v>
      </c>
      <c r="R27" s="150">
        <f t="shared" si="8"/>
        <v>5343.9632452507576</v>
      </c>
      <c r="S27" s="150">
        <f t="shared" si="9"/>
        <v>5785.9746851070022</v>
      </c>
      <c r="T27" s="150">
        <f t="shared" si="10"/>
        <v>6428.0004307457411</v>
      </c>
      <c r="U27" s="150">
        <f t="shared" si="11"/>
        <v>8214.0753806994653</v>
      </c>
      <c r="V27" s="150">
        <f t="shared" si="12"/>
        <v>9208.9635654248523</v>
      </c>
      <c r="W27" s="150">
        <f t="shared" si="12"/>
        <v>10179.873662631659</v>
      </c>
    </row>
    <row r="28" spans="1:23" ht="23.25" customHeight="1">
      <c r="A28" s="34">
        <v>21</v>
      </c>
      <c r="B28" s="31" t="s">
        <v>34</v>
      </c>
      <c r="C28" s="73">
        <f ca="1">+'Salaries (% Total Expenditure)'!C28+'Worksheet Pension &amp; RE'!C28+'IP as % of TRR'!C28</f>
        <v>12688.630000000001</v>
      </c>
      <c r="D28" s="73">
        <f ca="1">+'Salaries (% Total Expenditure)'!D28+'Worksheet Pension &amp; RE'!D28+'IP as % of TRR'!D28</f>
        <v>14701.929999999998</v>
      </c>
      <c r="E28" s="73">
        <f ca="1">+'Salaries (% Total Expenditure)'!E28+'Worksheet Pension &amp; RE'!E28+'IP as % of TRR'!E28</f>
        <v>17703.37</v>
      </c>
      <c r="F28" s="73">
        <f ca="1">+'Salaries (% Total Expenditure)'!F28+'Worksheet Pension &amp; RE'!F28+'IP as % of TRR'!F28</f>
        <v>21240.61</v>
      </c>
      <c r="G28" s="73">
        <f ca="1">+'Salaries (% Total Expenditure)'!G28+'Worksheet Pension &amp; RE'!G28+'IP as % of TRR'!G28</f>
        <v>23029.061000000002</v>
      </c>
      <c r="H28" s="73">
        <f ca="1">+'Salaries (% Total Expenditure)'!H28+'Worksheet Pension &amp; RE'!H28+'IP as % of TRR'!H28</f>
        <v>25723.72</v>
      </c>
      <c r="I28" s="18">
        <f ca="1">+'Salaries (% Total Expenditure)'!I28+'Worksheet Pension &amp; RE'!I28+'IP as % of TRR'!I28</f>
        <v>33521.5</v>
      </c>
      <c r="J28" s="88">
        <f ca="1">+'Per Capita Total Expenditure'!J28</f>
        <v>6.8266128968945763</v>
      </c>
      <c r="K28" s="88">
        <f ca="1">+'Per Capita Total Expenditure'!K28</f>
        <v>6.9428011867833348</v>
      </c>
      <c r="L28" s="88">
        <f ca="1">+'Per Capita Total Expenditure'!L28</f>
        <v>7.0582157062532715</v>
      </c>
      <c r="M28" s="88">
        <f ca="1">+'Per Capita Total Expenditure'!M28</f>
        <v>7.1731963023808341</v>
      </c>
      <c r="N28" s="88">
        <f ca="1">+'Per Capita Total Expenditure'!N28</f>
        <v>7.2879092155693517</v>
      </c>
      <c r="O28" s="174">
        <f ca="1">+'Per Capita Total Expenditure'!O28</f>
        <v>7.4019975549691264</v>
      </c>
      <c r="P28" s="174">
        <f ca="1">+'Per Capita Total Expenditure'!P28</f>
        <v>7.5153033314565754</v>
      </c>
      <c r="Q28" s="150">
        <f t="shared" si="7"/>
        <v>1858.7006750847195</v>
      </c>
      <c r="R28" s="150">
        <f t="shared" si="8"/>
        <v>2117.5790008199183</v>
      </c>
      <c r="S28" s="150">
        <f t="shared" si="9"/>
        <v>2508.1933928876083</v>
      </c>
      <c r="T28" s="150">
        <f t="shared" si="10"/>
        <v>2961.1081454650966</v>
      </c>
      <c r="U28" s="150">
        <f t="shared" si="11"/>
        <v>3159.8995430407413</v>
      </c>
      <c r="V28" s="150">
        <f t="shared" si="12"/>
        <v>3475.2402725033453</v>
      </c>
      <c r="W28" s="150">
        <f t="shared" si="12"/>
        <v>4460.4320706111866</v>
      </c>
    </row>
    <row r="29" spans="1:23" ht="23.25" customHeight="1">
      <c r="A29" s="34">
        <v>22</v>
      </c>
      <c r="B29" s="31" t="s">
        <v>35</v>
      </c>
      <c r="C29" s="73">
        <f ca="1">+'Salaries (% Total Expenditure)'!C29+'Worksheet Pension &amp; RE'!C29+'IP as % of TRR'!C29</f>
        <v>39765.47</v>
      </c>
      <c r="D29" s="73">
        <f ca="1">+'Salaries (% Total Expenditure)'!D29+'Worksheet Pension &amp; RE'!D29+'IP as % of TRR'!D29</f>
        <v>43108.31</v>
      </c>
      <c r="E29" s="73">
        <f ca="1">+'Salaries (% Total Expenditure)'!E29+'Worksheet Pension &amp; RE'!E29+'IP as % of TRR'!E29</f>
        <v>56524.53</v>
      </c>
      <c r="F29" s="73">
        <f ca="1">+'Salaries (% Total Expenditure)'!F29+'Worksheet Pension &amp; RE'!F29+'IP as % of TRR'!F29</f>
        <v>67279.78</v>
      </c>
      <c r="G29" s="73">
        <f ca="1">+'Salaries (% Total Expenditure)'!G29+'Worksheet Pension &amp; RE'!G29+'IP as % of TRR'!G29</f>
        <v>73487.81</v>
      </c>
      <c r="H29" s="73">
        <f ca="1">+'Salaries (% Total Expenditure)'!H29+'Worksheet Pension &amp; RE'!H29+'IP as % of TRR'!H29</f>
        <v>86796.78</v>
      </c>
      <c r="I29" s="18">
        <f ca="1">+'Salaries (% Total Expenditure)'!I29+'Worksheet Pension &amp; RE'!I29+'IP as % of TRR'!I29</f>
        <v>94127.54</v>
      </c>
      <c r="J29" s="88">
        <f ca="1">+'Per Capita Total Expenditure'!J29</f>
        <v>10.732108427199309</v>
      </c>
      <c r="K29" s="88">
        <f ca="1">+'Per Capita Total Expenditure'!K29</f>
        <v>10.890798129321896</v>
      </c>
      <c r="L29" s="88">
        <f ca="1">+'Per Capita Total Expenditure'!L29</f>
        <v>11.048501961686675</v>
      </c>
      <c r="M29" s="88">
        <f ca="1">+'Per Capita Total Expenditure'!M29</f>
        <v>11.204198889427518</v>
      </c>
      <c r="N29" s="88">
        <f ca="1">+'Per Capita Total Expenditure'!N29</f>
        <v>11.35689657622429</v>
      </c>
      <c r="O29" s="174">
        <f ca="1">+'Per Capita Total Expenditure'!O29</f>
        <v>11.508302108591584</v>
      </c>
      <c r="P29" s="174">
        <f ca="1">+'Per Capita Total Expenditure'!P29</f>
        <v>11.661726118020598</v>
      </c>
      <c r="Q29" s="150">
        <f t="shared" si="7"/>
        <v>3705.2803062647913</v>
      </c>
      <c r="R29" s="150">
        <f t="shared" si="8"/>
        <v>3958.2323984077088</v>
      </c>
      <c r="S29" s="150">
        <f t="shared" si="9"/>
        <v>5116.0356576857512</v>
      </c>
      <c r="T29" s="150">
        <f t="shared" si="10"/>
        <v>6004.8719827248333</v>
      </c>
      <c r="U29" s="150">
        <f t="shared" si="11"/>
        <v>6470.7650991422279</v>
      </c>
      <c r="V29" s="150">
        <f t="shared" si="12"/>
        <v>7542.1012744531099</v>
      </c>
      <c r="W29" s="150">
        <f t="shared" si="12"/>
        <v>8071.4929374431858</v>
      </c>
    </row>
    <row r="30" spans="1:23" ht="23.25" customHeight="1">
      <c r="A30" s="34">
        <v>23</v>
      </c>
      <c r="B30" s="31" t="s">
        <v>74</v>
      </c>
      <c r="C30" s="73">
        <f ca="1">+'Salaries (% Total Expenditure)'!C30+'Worksheet Pension &amp; RE'!C30+'IP as % of TRR'!C30</f>
        <v>9716.2799999999988</v>
      </c>
      <c r="D30" s="73">
        <f ca="1">+'Salaries (% Total Expenditure)'!D30+'Worksheet Pension &amp; RE'!D30+'IP as % of TRR'!D30</f>
        <v>11998.429999999998</v>
      </c>
      <c r="E30" s="73">
        <f ca="1">+'Salaries (% Total Expenditure)'!E30+'Worksheet Pension &amp; RE'!E30+'IP as % of TRR'!E30</f>
        <v>14793.46</v>
      </c>
      <c r="F30" s="73">
        <f ca="1">+'Salaries (% Total Expenditure)'!F30+'Worksheet Pension &amp; RE'!F30+'IP as % of TRR'!F30</f>
        <v>15911.380000000001</v>
      </c>
      <c r="G30" s="73">
        <f ca="1">+'Salaries (% Total Expenditure)'!G30+'Worksheet Pension &amp; RE'!G30+'IP as % of TRR'!G30</f>
        <v>16062.93</v>
      </c>
      <c r="H30" s="73">
        <f ca="1">+'Salaries (% Total Expenditure)'!H30+'Worksheet Pension &amp; RE'!H30+'IP as % of TRR'!H30</f>
        <v>17702.02</v>
      </c>
      <c r="I30" s="18">
        <f ca="1">+'Salaries (% Total Expenditure)'!I30+'Worksheet Pension &amp; RE'!I30+'IP as % of TRR'!I30</f>
        <v>26259.71</v>
      </c>
      <c r="J30" s="88">
        <f ca="1">+'Per Capita Total Expenditure'!J30</f>
        <v>4.0060909452076574</v>
      </c>
      <c r="K30" s="88">
        <f ca="1">+'Per Capita Total Expenditure'!K30</f>
        <v>4.0589937491258592</v>
      </c>
      <c r="L30" s="88">
        <f ca="1">+'Per Capita Total Expenditure'!L30</f>
        <v>4.1127064807914966</v>
      </c>
      <c r="M30" s="88">
        <f ca="1">+'Per Capita Total Expenditure'!M30</f>
        <v>4.1671904808928506</v>
      </c>
      <c r="N30" s="88">
        <f ca="1">+'Per Capita Total Expenditure'!N30</f>
        <v>4.2225047452348843</v>
      </c>
      <c r="O30" s="174">
        <f ca="1">+'Per Capita Total Expenditure'!O30</f>
        <v>4.2786072829813833</v>
      </c>
      <c r="P30" s="174">
        <f ca="1">+'Per Capita Total Expenditure'!P30</f>
        <v>4.3356013032884713</v>
      </c>
      <c r="Q30" s="150">
        <f t="shared" si="7"/>
        <v>2425.3767907149577</v>
      </c>
      <c r="R30" s="150">
        <f t="shared" si="8"/>
        <v>2956.0109577857734</v>
      </c>
      <c r="S30" s="150">
        <f t="shared" si="9"/>
        <v>3597.0133217853599</v>
      </c>
      <c r="T30" s="150">
        <f t="shared" si="10"/>
        <v>3818.2511869701893</v>
      </c>
      <c r="U30" s="150">
        <f t="shared" si="11"/>
        <v>3804.123611258718</v>
      </c>
      <c r="V30" s="150">
        <f t="shared" si="12"/>
        <v>4137.3322740817257</v>
      </c>
      <c r="W30" s="150">
        <f t="shared" si="12"/>
        <v>6056.7631022904498</v>
      </c>
    </row>
    <row r="31" spans="1:23" ht="23.25" customHeight="1">
      <c r="A31" s="34">
        <v>24</v>
      </c>
      <c r="B31" s="31" t="s">
        <v>36</v>
      </c>
      <c r="C31" s="73">
        <f ca="1">+'Salaries (% Total Expenditure)'!C31+'Worksheet Pension &amp; RE'!C31+'IP as % of TRR'!C31</f>
        <v>13275.92</v>
      </c>
      <c r="D31" s="73">
        <f ca="1">+'Salaries (% Total Expenditure)'!D31+'Worksheet Pension &amp; RE'!D31+'IP as % of TRR'!D31</f>
        <v>14476.32</v>
      </c>
      <c r="E31" s="73">
        <f ca="1">+'Salaries (% Total Expenditure)'!E31+'Worksheet Pension &amp; RE'!E31+'IP as % of TRR'!E31</f>
        <v>16499.72</v>
      </c>
      <c r="F31" s="73">
        <f ca="1">+'Salaries (% Total Expenditure)'!F31+'Worksheet Pension &amp; RE'!F31+'IP as % of TRR'!F31</f>
        <v>20459.61</v>
      </c>
      <c r="G31" s="73">
        <f ca="1">+'Salaries (% Total Expenditure)'!G31+'Worksheet Pension &amp; RE'!G31+'IP as % of TRR'!G31</f>
        <v>24211.010000000002</v>
      </c>
      <c r="H31" s="73">
        <f ca="1">+'Salaries (% Total Expenditure)'!H31+'Worksheet Pension &amp; RE'!H31+'IP as % of TRR'!H31</f>
        <v>26665.919999999998</v>
      </c>
      <c r="I31" s="18">
        <f ca="1">+'Salaries (% Total Expenditure)'!I31+'Worksheet Pension &amp; RE'!I31+'IP as % of TRR'!I31</f>
        <v>28039.329999999998</v>
      </c>
      <c r="J31" s="88">
        <f ca="1">+'Per Capita Total Expenditure'!J31</f>
        <v>2.7481976508707979</v>
      </c>
      <c r="K31" s="88">
        <f ca="1">+'Per Capita Total Expenditure'!K31</f>
        <v>2.7990056946578687</v>
      </c>
      <c r="L31" s="88">
        <f ca="1">+'Per Capita Total Expenditure'!L31</f>
        <v>2.8506916916107112</v>
      </c>
      <c r="M31" s="88">
        <f ca="1">+'Per Capita Total Expenditure'!M31</f>
        <v>2.9034089275962174</v>
      </c>
      <c r="N31" s="88">
        <f ca="1">+'Per Capita Total Expenditure'!N31</f>
        <v>2.9570854803507549</v>
      </c>
      <c r="O31" s="174">
        <f ca="1">+'Per Capita Total Expenditure'!O31</f>
        <v>2.9796181450769983</v>
      </c>
      <c r="P31" s="174">
        <f ca="1">+'Per Capita Total Expenditure'!P31</f>
        <v>3.0346866669487582</v>
      </c>
      <c r="Q31" s="150">
        <f t="shared" si="7"/>
        <v>4830.7733600577722</v>
      </c>
      <c r="R31" s="150">
        <f t="shared" si="8"/>
        <v>5171.9508922862287</v>
      </c>
      <c r="S31" s="150">
        <f t="shared" si="9"/>
        <v>5787.9707049895851</v>
      </c>
      <c r="T31" s="150">
        <f t="shared" si="10"/>
        <v>7046.7545255290188</v>
      </c>
      <c r="U31" s="150">
        <f t="shared" si="11"/>
        <v>8187.4569270578577</v>
      </c>
      <c r="V31" s="150">
        <f t="shared" si="12"/>
        <v>8949.4420766829189</v>
      </c>
      <c r="W31" s="150">
        <f t="shared" si="12"/>
        <v>9239.6128751546839</v>
      </c>
    </row>
    <row r="32" spans="1:23" ht="23.25" customHeight="1">
      <c r="A32" s="34">
        <v>25</v>
      </c>
      <c r="B32" s="31" t="s">
        <v>37</v>
      </c>
      <c r="C32" s="73">
        <f ca="1">+'Salaries (% Total Expenditure)'!C32+'Worksheet Pension &amp; RE'!C32+'IP as % of TRR'!C32</f>
        <v>16199.039999999999</v>
      </c>
      <c r="D32" s="73">
        <f ca="1">+'Salaries (% Total Expenditure)'!D32+'Worksheet Pension &amp; RE'!D32+'IP as % of TRR'!D32</f>
        <v>20815.849999999999</v>
      </c>
      <c r="E32" s="73">
        <f ca="1">+'Salaries (% Total Expenditure)'!E32+'Worksheet Pension &amp; RE'!E32+'IP as % of TRR'!E32</f>
        <v>25458.100000000002</v>
      </c>
      <c r="F32" s="73">
        <f ca="1">+'Salaries (% Total Expenditure)'!F32+'Worksheet Pension &amp; RE'!F32+'IP as % of TRR'!F32</f>
        <v>25870.87</v>
      </c>
      <c r="G32" s="73">
        <f ca="1">+'Salaries (% Total Expenditure)'!G32+'Worksheet Pension &amp; RE'!G32+'IP as % of TRR'!G32</f>
        <v>28291.5</v>
      </c>
      <c r="H32" s="73">
        <f ca="1">+'Salaries (% Total Expenditure)'!H32+'Worksheet Pension &amp; RE'!H32+'IP as % of TRR'!H32</f>
        <v>31604.32</v>
      </c>
      <c r="I32" s="18">
        <f ca="1">+'Salaries (% Total Expenditure)'!I32+'Worksheet Pension &amp; RE'!I32+'IP as % of TRR'!I32</f>
        <v>37214.410000000003</v>
      </c>
      <c r="J32" s="88">
        <f ca="1">+'Per Capita Total Expenditure'!J32</f>
        <v>6.4077130200264554</v>
      </c>
      <c r="K32" s="88">
        <f ca="1">+'Per Capita Total Expenditure'!K32</f>
        <v>6.5200128898541463</v>
      </c>
      <c r="L32" s="88">
        <f ca="1">+'Per Capita Total Expenditure'!L32</f>
        <v>6.6310102684541343</v>
      </c>
      <c r="M32" s="88">
        <f ca="1">+'Per Capita Total Expenditure'!M32</f>
        <v>6.7401098646571338</v>
      </c>
      <c r="N32" s="88">
        <f ca="1">+'Per Capita Total Expenditure'!N32</f>
        <v>6.8468084212054663</v>
      </c>
      <c r="O32" s="174">
        <f ca="1">+'Per Capita Total Expenditure'!O32</f>
        <v>6.9519011597612277</v>
      </c>
      <c r="P32" s="174">
        <f ca="1">+'Per Capita Total Expenditure'!P32</f>
        <v>7.055898520704841</v>
      </c>
      <c r="Q32" s="150">
        <f t="shared" si="7"/>
        <v>2528.053292863156</v>
      </c>
      <c r="R32" s="150">
        <f t="shared" si="8"/>
        <v>3192.6087189784148</v>
      </c>
      <c r="S32" s="150">
        <f t="shared" si="9"/>
        <v>3839.2490690464524</v>
      </c>
      <c r="T32" s="150">
        <f t="shared" si="10"/>
        <v>3838.3454453254731</v>
      </c>
      <c r="U32" s="150">
        <f t="shared" si="11"/>
        <v>4132.071216185559</v>
      </c>
      <c r="V32" s="150">
        <f t="shared" si="12"/>
        <v>4546.1405842377499</v>
      </c>
      <c r="W32" s="150">
        <f t="shared" si="12"/>
        <v>5274.2269309568401</v>
      </c>
    </row>
    <row r="33" spans="1:23" ht="23.25" customHeight="1">
      <c r="A33" s="34">
        <v>26</v>
      </c>
      <c r="B33" s="31" t="s">
        <v>38</v>
      </c>
      <c r="C33" s="73">
        <f ca="1">+'Salaries (% Total Expenditure)'!C33+'Worksheet Pension &amp; RE'!C33+'IP as % of TRR'!C33</f>
        <v>23108.720000000001</v>
      </c>
      <c r="D33" s="73">
        <f ca="1">+'Salaries (% Total Expenditure)'!D33+'Worksheet Pension &amp; RE'!D33+'IP as % of TRR'!D33</f>
        <v>27963</v>
      </c>
      <c r="E33" s="73">
        <f ca="1">+'Salaries (% Total Expenditure)'!E33+'Worksheet Pension &amp; RE'!E33+'IP as % of TRR'!E33</f>
        <v>32327.919999999998</v>
      </c>
      <c r="F33" s="73">
        <f ca="1">+'Salaries (% Total Expenditure)'!F33+'Worksheet Pension &amp; RE'!F33+'IP as % of TRR'!F33</f>
        <v>41253.199999999997</v>
      </c>
      <c r="G33" s="73">
        <f ca="1">+'Salaries (% Total Expenditure)'!G33+'Worksheet Pension &amp; RE'!G33+'IP as % of TRR'!G33</f>
        <v>45070.09</v>
      </c>
      <c r="H33" s="73">
        <f ca="1">+'Salaries (% Total Expenditure)'!H33+'Worksheet Pension &amp; RE'!H33+'IP as % of TRR'!H33</f>
        <v>51455.83</v>
      </c>
      <c r="I33" s="18">
        <f ca="1">+'Salaries (% Total Expenditure)'!I33+'Worksheet Pension &amp; RE'!I33+'IP as % of TRR'!I33</f>
        <v>64217.79</v>
      </c>
      <c r="J33" s="88">
        <f ca="1">+'Per Capita Total Expenditure'!J33</f>
        <v>6.5918957988249023</v>
      </c>
      <c r="K33" s="88">
        <f ca="1">+'Per Capita Total Expenditure'!K33</f>
        <v>6.6386001847180429</v>
      </c>
      <c r="L33" s="88">
        <f ca="1">+'Per Capita Total Expenditure'!L33</f>
        <v>6.6836068388328007</v>
      </c>
      <c r="M33" s="88">
        <f ca="1">+'Per Capita Total Expenditure'!M33</f>
        <v>6.7272975787886233</v>
      </c>
      <c r="N33" s="88">
        <f ca="1">+'Per Capita Total Expenditure'!N33</f>
        <v>6.7698051233022598</v>
      </c>
      <c r="O33" s="174">
        <f ca="1">+'Per Capita Total Expenditure'!O33</f>
        <v>6.810704266335974</v>
      </c>
      <c r="P33" s="174">
        <f ca="1">+'Per Capita Total Expenditure'!P33</f>
        <v>6.8500770045668604</v>
      </c>
      <c r="Q33" s="150">
        <f t="shared" si="7"/>
        <v>3505.6258025376333</v>
      </c>
      <c r="R33" s="150">
        <f t="shared" si="8"/>
        <v>4212.1831744545188</v>
      </c>
      <c r="S33" s="150">
        <f t="shared" si="9"/>
        <v>4836.8973189999342</v>
      </c>
      <c r="T33" s="150">
        <f t="shared" si="10"/>
        <v>6132.2097791649066</v>
      </c>
      <c r="U33" s="150">
        <f t="shared" si="11"/>
        <v>6657.5166018981572</v>
      </c>
      <c r="V33" s="150">
        <f t="shared" si="12"/>
        <v>7555.1408470833858</v>
      </c>
      <c r="W33" s="150">
        <f t="shared" si="12"/>
        <v>9374.7544673128214</v>
      </c>
    </row>
    <row r="34" spans="1:23" ht="23.25" customHeight="1">
      <c r="A34" s="34">
        <v>27</v>
      </c>
      <c r="B34" s="31" t="s">
        <v>39</v>
      </c>
      <c r="C34" s="73">
        <f ca="1">+'Salaries (% Total Expenditure)'!C34+'Worksheet Pension &amp; RE'!C34+'IP as % of TRR'!C34</f>
        <v>36560.28</v>
      </c>
      <c r="D34" s="73">
        <f ca="1">+'Salaries (% Total Expenditure)'!D34+'Worksheet Pension &amp; RE'!D34+'IP as % of TRR'!D34</f>
        <v>32458.16</v>
      </c>
      <c r="E34" s="73">
        <f ca="1">+'Salaries (% Total Expenditure)'!E34+'Worksheet Pension &amp; RE'!E34+'IP as % of TRR'!E34</f>
        <v>42773.899999999994</v>
      </c>
      <c r="F34" s="73">
        <f ca="1">+'Salaries (% Total Expenditure)'!F34+'Worksheet Pension &amp; RE'!F34+'IP as % of TRR'!F34</f>
        <v>49492.590000000004</v>
      </c>
      <c r="G34" s="73">
        <f ca="1">+'Salaries (% Total Expenditure)'!G34+'Worksheet Pension &amp; RE'!G34+'IP as % of TRR'!G34</f>
        <v>56268.72</v>
      </c>
      <c r="H34" s="73">
        <f ca="1">+'Salaries (% Total Expenditure)'!H34+'Worksheet Pension &amp; RE'!H34+'IP as % of TRR'!H34</f>
        <v>66031.150000000009</v>
      </c>
      <c r="I34" s="18">
        <f ca="1">+'Salaries (% Total Expenditure)'!I34+'Worksheet Pension &amp; RE'!I34+'IP as % of TRR'!I34</f>
        <v>71805.23</v>
      </c>
      <c r="J34" s="88">
        <f ca="1">+'Per Capita Total Expenditure'!J34</f>
        <v>18.881224177143011</v>
      </c>
      <c r="K34" s="88">
        <f ca="1">+'Per Capita Total Expenditure'!K34</f>
        <v>19.232480903204277</v>
      </c>
      <c r="L34" s="88">
        <f ca="1">+'Per Capita Total Expenditure'!L34</f>
        <v>19.584080567283397</v>
      </c>
      <c r="M34" s="88">
        <f ca="1">+'Per Capita Total Expenditure'!M34</f>
        <v>19.934689884595507</v>
      </c>
      <c r="N34" s="88">
        <f ca="1">+'Per Capita Total Expenditure'!N34</f>
        <v>20.282994292485906</v>
      </c>
      <c r="O34" s="174">
        <f ca="1">+'Per Capita Total Expenditure'!O34</f>
        <v>20.631198792881232</v>
      </c>
      <c r="P34" s="174">
        <f ca="1">+'Per Capita Total Expenditure'!P34</f>
        <v>20.980204789873504</v>
      </c>
      <c r="Q34" s="150">
        <f t="shared" si="7"/>
        <v>1936.3299570511256</v>
      </c>
      <c r="R34" s="150">
        <f t="shared" si="8"/>
        <v>1687.6741052472448</v>
      </c>
      <c r="S34" s="150">
        <f t="shared" si="9"/>
        <v>2184.1158104433475</v>
      </c>
      <c r="T34" s="150">
        <f t="shared" si="10"/>
        <v>2482.7368916456185</v>
      </c>
      <c r="U34" s="150">
        <f t="shared" si="11"/>
        <v>2774.1821147603173</v>
      </c>
      <c r="V34" s="150">
        <f t="shared" si="12"/>
        <v>3200.5483861065782</v>
      </c>
      <c r="W34" s="150">
        <f t="shared" si="12"/>
        <v>3422.5228361287568</v>
      </c>
    </row>
    <row r="35" spans="1:23" ht="23.25" customHeight="1">
      <c r="A35" s="34">
        <v>28</v>
      </c>
      <c r="B35" s="31" t="s">
        <v>40</v>
      </c>
      <c r="C35" s="73">
        <f ca="1">+'Salaries (% Total Expenditure)'!C35+'Worksheet Pension &amp; RE'!C35+'IP as % of TRR'!C35</f>
        <v>26997.360000000001</v>
      </c>
      <c r="D35" s="73">
        <f ca="1">+'Salaries (% Total Expenditure)'!D35+'Worksheet Pension &amp; RE'!D35+'IP as % of TRR'!D35</f>
        <v>29487.370000000003</v>
      </c>
      <c r="E35" s="73">
        <f ca="1">+'Salaries (% Total Expenditure)'!E35+'Worksheet Pension &amp; RE'!E35+'IP as % of TRR'!E35</f>
        <v>40642.36</v>
      </c>
      <c r="F35" s="73">
        <f ca="1">+'Salaries (% Total Expenditure)'!F35+'Worksheet Pension &amp; RE'!F35+'IP as % of TRR'!F35</f>
        <v>45623.21</v>
      </c>
      <c r="G35" s="73">
        <f ca="1">+'Salaries (% Total Expenditure)'!G35+'Worksheet Pension &amp; RE'!G35+'IP as % of TRR'!G35</f>
        <v>51445.619999999995</v>
      </c>
      <c r="H35" s="73">
        <f ca="1">+'Salaries (% Total Expenditure)'!H35+'Worksheet Pension &amp; RE'!H35+'IP as % of TRR'!H35</f>
        <v>55291.19</v>
      </c>
      <c r="I35" s="18">
        <f ca="1">+'Salaries (% Total Expenditure)'!I35+'Worksheet Pension &amp; RE'!I35+'IP as % of TRR'!I35</f>
        <v>61016.450000000004</v>
      </c>
      <c r="J35" s="88">
        <f ca="1">+'Per Capita Total Expenditure'!J35</f>
        <v>8.6659169385750943</v>
      </c>
      <c r="K35" s="88">
        <f ca="1">+'Per Capita Total Expenditure'!K35</f>
        <v>8.7505283624989438</v>
      </c>
      <c r="L35" s="88">
        <f ca="1">+'Per Capita Total Expenditure'!L35</f>
        <v>8.8334754745485995</v>
      </c>
      <c r="M35" s="88">
        <f ca="1">+'Per Capita Total Expenditure'!M35</f>
        <v>8.9158852788654883</v>
      </c>
      <c r="N35" s="88">
        <f ca="1">+'Per Capita Total Expenditure'!N35</f>
        <v>8.9987206199510172</v>
      </c>
      <c r="O35" s="174">
        <f ca="1">+'Per Capita Total Expenditure'!O35</f>
        <v>9.0801964517109539</v>
      </c>
      <c r="P35" s="174">
        <f ca="1">+'Per Capita Total Expenditure'!P35</f>
        <v>9.1594420448913123</v>
      </c>
      <c r="Q35" s="150">
        <f t="shared" si="7"/>
        <v>3115.3494998117394</v>
      </c>
      <c r="R35" s="150">
        <f t="shared" si="8"/>
        <v>3369.7816609989372</v>
      </c>
      <c r="S35" s="150">
        <f t="shared" si="9"/>
        <v>4600.9478508318234</v>
      </c>
      <c r="T35" s="150">
        <f t="shared" si="10"/>
        <v>5117.0701027464738</v>
      </c>
      <c r="U35" s="150">
        <f t="shared" si="11"/>
        <v>5716.9926895985827</v>
      </c>
      <c r="V35" s="150">
        <f t="shared" si="12"/>
        <v>6089.2063617832464</v>
      </c>
      <c r="W35" s="150">
        <f t="shared" si="12"/>
        <v>6661.5902694675588</v>
      </c>
    </row>
    <row r="36" spans="1:23" s="39" customFormat="1" ht="23.25" customHeight="1">
      <c r="A36" s="90"/>
      <c r="B36" s="32" t="s">
        <v>190</v>
      </c>
      <c r="C36" s="74">
        <f t="shared" ref="C36:O36" si="13">SUM(C19:C35)</f>
        <v>286101.98000000004</v>
      </c>
      <c r="D36" s="74">
        <f t="shared" si="13"/>
        <v>315880.28999999998</v>
      </c>
      <c r="E36" s="66">
        <f t="shared" si="13"/>
        <v>387205.81999999995</v>
      </c>
      <c r="F36" s="66">
        <f t="shared" si="13"/>
        <v>460336.21</v>
      </c>
      <c r="G36" s="66">
        <f t="shared" si="13"/>
        <v>514131.12099999993</v>
      </c>
      <c r="H36" s="66">
        <f t="shared" si="13"/>
        <v>581128.02</v>
      </c>
      <c r="I36" s="66">
        <f ca="1">SUM(I19:I35)</f>
        <v>672244.62</v>
      </c>
      <c r="J36" s="87">
        <f t="shared" si="13"/>
        <v>105.01751907192455</v>
      </c>
      <c r="K36" s="87">
        <f t="shared" si="13"/>
        <v>106.52470671263519</v>
      </c>
      <c r="L36" s="87">
        <f t="shared" si="13"/>
        <v>108.01033818172476</v>
      </c>
      <c r="M36" s="87">
        <f t="shared" si="13"/>
        <v>109.49270544510455</v>
      </c>
      <c r="N36" s="87">
        <f t="shared" si="13"/>
        <v>110.96051523909952</v>
      </c>
      <c r="O36" s="175">
        <f t="shared" si="13"/>
        <v>112.38358865312418</v>
      </c>
      <c r="P36" s="175">
        <f ca="1">SUM(P19:P35)</f>
        <v>113.83182197625416</v>
      </c>
      <c r="Q36" s="151">
        <f t="shared" si="7"/>
        <v>2724.3262126965128</v>
      </c>
      <c r="R36" s="151">
        <f t="shared" si="8"/>
        <v>2965.3241933078471</v>
      </c>
      <c r="S36" s="151">
        <f>+E36/L36</f>
        <v>3584.8959138386881</v>
      </c>
      <c r="T36" s="151">
        <f>+F36/M36</f>
        <v>4204.2637281512325</v>
      </c>
      <c r="U36" s="151">
        <f>+G36/N36</f>
        <v>4633.46010868949</v>
      </c>
      <c r="V36" s="151">
        <f>+H36/O36</f>
        <v>5170.9331136743795</v>
      </c>
      <c r="W36" s="151">
        <f>+I36/P36</f>
        <v>5905.594835688682</v>
      </c>
    </row>
    <row r="37" spans="1:23" ht="23.25" customHeight="1">
      <c r="A37" s="34"/>
      <c r="B37" s="32" t="s">
        <v>42</v>
      </c>
      <c r="C37" s="73"/>
      <c r="D37" s="73"/>
      <c r="E37" s="18"/>
      <c r="F37" s="18"/>
      <c r="G37" s="18"/>
      <c r="H37" s="18"/>
      <c r="I37" s="18"/>
      <c r="J37" s="88"/>
      <c r="K37" s="88"/>
      <c r="L37" s="88"/>
      <c r="M37" s="88"/>
      <c r="N37" s="88"/>
      <c r="O37" s="174"/>
      <c r="P37" s="174"/>
      <c r="Q37" s="150"/>
      <c r="R37" s="150"/>
      <c r="S37" s="150"/>
      <c r="T37" s="150"/>
      <c r="U37" s="150"/>
      <c r="V37" s="150"/>
      <c r="W37" s="150"/>
    </row>
    <row r="38" spans="1:23" ht="23.25" customHeight="1">
      <c r="A38" s="34">
        <v>29</v>
      </c>
      <c r="B38" s="31" t="s">
        <v>43</v>
      </c>
      <c r="C38" s="73">
        <f ca="1">+'Salaries (% Total Expenditure)'!C38+'Worksheet Pension &amp; RE'!C38+'IP as % of TRR'!C38</f>
        <v>4217.96</v>
      </c>
      <c r="D38" s="73">
        <f ca="1">+'Salaries (% Total Expenditure)'!D38+'Worksheet Pension &amp; RE'!D38+'IP as % of TRR'!D38</f>
        <v>5417.0499999999993</v>
      </c>
      <c r="E38" s="73">
        <f ca="1">+'Salaries (% Total Expenditure)'!E38+'Worksheet Pension &amp; RE'!E38+'IP as % of TRR'!E38</f>
        <v>6309.25</v>
      </c>
      <c r="F38" s="73">
        <f ca="1">+'Salaries (% Total Expenditure)'!F38+'Worksheet Pension &amp; RE'!F38+'IP as % of TRR'!F38</f>
        <v>6011.38</v>
      </c>
      <c r="G38" s="73">
        <f ca="1">+'Salaries (% Total Expenditure)'!G38+'Worksheet Pension &amp; RE'!G38+'IP as % of TRR'!G38</f>
        <v>6702.2000000000007</v>
      </c>
      <c r="H38" s="73">
        <f ca="1">+'Salaries (% Total Expenditure)'!H38+'Worksheet Pension &amp; RE'!H38+'IP as % of TRR'!H38</f>
        <v>7123.8</v>
      </c>
      <c r="I38" s="18">
        <f ca="1">+'Salaries (% Total Expenditure)'!I38+'Worksheet Pension &amp; RE'!I38+'IP as % of TRR'!I38</f>
        <v>8052.06</v>
      </c>
      <c r="J38" s="88">
        <f ca="1">+'Per Capita Total Expenditure'!J38</f>
        <v>1.5699016180006511</v>
      </c>
      <c r="K38" s="88">
        <f ca="1">+'Per Capita Total Expenditure'!K38</f>
        <v>1.6001109560113103</v>
      </c>
      <c r="L38" s="88">
        <f ca="1">+'Per Capita Total Expenditure'!L38</f>
        <v>1.6307965950959218</v>
      </c>
      <c r="M38" s="88">
        <f ca="1">+'Per Capita Total Expenditure'!M38</f>
        <v>1.6622039702609404</v>
      </c>
      <c r="N38" s="88">
        <f ca="1">+'Per Capita Total Expenditure'!N38</f>
        <v>1.6941030542356021</v>
      </c>
      <c r="O38" s="174">
        <f ca="1">+'Per Capita Total Expenditure'!O38</f>
        <v>1.7266014840046318</v>
      </c>
      <c r="P38" s="174">
        <f ca="1">+'Per Capita Total Expenditure'!P38</f>
        <v>1.7596997895253639</v>
      </c>
      <c r="Q38" s="150">
        <f t="shared" ref="Q38:W40" si="14">+C38/J38</f>
        <v>2686.76708886496</v>
      </c>
      <c r="R38" s="150">
        <f t="shared" si="14"/>
        <v>3385.4214794600216</v>
      </c>
      <c r="S38" s="150">
        <f t="shared" si="14"/>
        <v>3868.8147982237456</v>
      </c>
      <c r="T38" s="150">
        <f t="shared" si="14"/>
        <v>3616.5116360877819</v>
      </c>
      <c r="U38" s="150">
        <f t="shared" si="14"/>
        <v>3956.1938001605849</v>
      </c>
      <c r="V38" s="150">
        <f t="shared" si="14"/>
        <v>4125.9086511829328</v>
      </c>
      <c r="W38" s="150">
        <f t="shared" si="14"/>
        <v>4575.8146065198125</v>
      </c>
    </row>
    <row r="39" spans="1:23" ht="23.25" customHeight="1">
      <c r="A39" s="34">
        <v>30</v>
      </c>
      <c r="B39" s="31" t="s">
        <v>44</v>
      </c>
      <c r="C39" s="73">
        <f ca="1">+'Salaries (% Total Expenditure)'!C39+'Worksheet Pension &amp; RE'!C39+'IP as % of TRR'!C39</f>
        <v>783</v>
      </c>
      <c r="D39" s="73">
        <f ca="1">+'Salaries (% Total Expenditure)'!D39+'Worksheet Pension &amp; RE'!D39+'IP as % of TRR'!D39</f>
        <v>1114</v>
      </c>
      <c r="E39" s="73">
        <f ca="1">+'Salaries (% Total Expenditure)'!E39+'Worksheet Pension &amp; RE'!E39+'IP as % of TRR'!E39</f>
        <v>1444</v>
      </c>
      <c r="F39" s="73">
        <f ca="1">+'Salaries (% Total Expenditure)'!F39+'Worksheet Pension &amp; RE'!F39+'IP as % of TRR'!F39</f>
        <v>1606</v>
      </c>
      <c r="G39" s="73">
        <f ca="1">+'Salaries (% Total Expenditure)'!G39+'Worksheet Pension &amp; RE'!G39+'IP as % of TRR'!G39</f>
        <v>1634.1799999999998</v>
      </c>
      <c r="H39" s="73">
        <f ca="1">+'Salaries (% Total Expenditure)'!H39+'Worksheet Pension &amp; RE'!H39+'IP as % of TRR'!H39</f>
        <v>1791.57</v>
      </c>
      <c r="I39" s="18">
        <f ca="1">+'Salaries (% Total Expenditure)'!I39+'Worksheet Pension &amp; RE'!I39+'IP as % of TRR'!I39</f>
        <v>2115.98</v>
      </c>
      <c r="J39" s="88">
        <f ca="1">+'Per Capita Total Expenditure'!J39</f>
        <v>0.11022762496462311</v>
      </c>
      <c r="K39" s="88">
        <f ca="1">+'Per Capita Total Expenditure'!K39</f>
        <v>0.11232441429400046</v>
      </c>
      <c r="L39" s="88">
        <f ca="1">+'Per Capita Total Expenditure'!L39</f>
        <v>0.1144435267396242</v>
      </c>
      <c r="M39" s="88">
        <f ca="1">+'Per Capita Total Expenditure'!M39</f>
        <v>0.11660994142789299</v>
      </c>
      <c r="N39" s="88">
        <f ca="1">+'Per Capita Total Expenditure'!N39</f>
        <v>0.12635581007281554</v>
      </c>
      <c r="O39" s="174">
        <f ca="1">+'Per Capita Total Expenditure'!O39</f>
        <v>0.1295269620232524</v>
      </c>
      <c r="P39" s="174">
        <f ca="1">+'Per Capita Total Expenditure'!P39</f>
        <v>0.13277007035308042</v>
      </c>
      <c r="Q39" s="150">
        <f t="shared" si="14"/>
        <v>7103.4824550678568</v>
      </c>
      <c r="R39" s="150">
        <f t="shared" si="14"/>
        <v>9917.701392007184</v>
      </c>
      <c r="S39" s="150">
        <f t="shared" si="14"/>
        <v>12617.576905728461</v>
      </c>
      <c r="T39" s="150">
        <f t="shared" si="14"/>
        <v>13772.410656711352</v>
      </c>
      <c r="U39" s="150">
        <f t="shared" si="14"/>
        <v>12933.160723343586</v>
      </c>
      <c r="V39" s="150">
        <f t="shared" si="14"/>
        <v>13831.637614401712</v>
      </c>
      <c r="W39" s="150">
        <f t="shared" si="14"/>
        <v>15937.176160055464</v>
      </c>
    </row>
    <row r="40" spans="1:23" s="39" customFormat="1" ht="23.25" customHeight="1">
      <c r="A40" s="90"/>
      <c r="B40" s="32" t="s">
        <v>79</v>
      </c>
      <c r="C40" s="74">
        <f t="shared" ref="C40:H40" si="15">SUM(C38:C39)</f>
        <v>5000.96</v>
      </c>
      <c r="D40" s="74">
        <f t="shared" si="15"/>
        <v>6531.0499999999993</v>
      </c>
      <c r="E40" s="66">
        <f t="shared" si="15"/>
        <v>7753.25</v>
      </c>
      <c r="F40" s="66">
        <f t="shared" si="15"/>
        <v>7617.38</v>
      </c>
      <c r="G40" s="66">
        <f t="shared" si="15"/>
        <v>8336.380000000001</v>
      </c>
      <c r="H40" s="66">
        <f t="shared" si="15"/>
        <v>8915.3700000000008</v>
      </c>
      <c r="I40" s="66">
        <f>SUM(I38:I39)</f>
        <v>10168.040000000001</v>
      </c>
      <c r="J40" s="87">
        <f t="shared" ref="J40:O40" si="16">+J38+J39</f>
        <v>1.6801292429652741</v>
      </c>
      <c r="K40" s="87">
        <f t="shared" si="16"/>
        <v>1.7124353703053108</v>
      </c>
      <c r="L40" s="87">
        <f t="shared" si="16"/>
        <v>1.745240121835546</v>
      </c>
      <c r="M40" s="87">
        <f t="shared" si="16"/>
        <v>1.7788139116888333</v>
      </c>
      <c r="N40" s="87">
        <f t="shared" si="16"/>
        <v>1.8204588643084176</v>
      </c>
      <c r="O40" s="175">
        <f t="shared" si="16"/>
        <v>1.8561284460278842</v>
      </c>
      <c r="P40" s="175">
        <f>+P38+P39</f>
        <v>1.8924698598784442</v>
      </c>
      <c r="Q40" s="151">
        <f t="shared" si="14"/>
        <v>2976.5329190829179</v>
      </c>
      <c r="R40" s="151">
        <f t="shared" si="14"/>
        <v>3813.8957611203605</v>
      </c>
      <c r="S40" s="151">
        <f t="shared" si="14"/>
        <v>4442.5118944925271</v>
      </c>
      <c r="T40" s="151">
        <f t="shared" si="14"/>
        <v>4282.2804285176417</v>
      </c>
      <c r="U40" s="151">
        <f t="shared" si="14"/>
        <v>4579.2740299940515</v>
      </c>
      <c r="V40" s="151">
        <f t="shared" si="14"/>
        <v>4803.2074607115137</v>
      </c>
      <c r="W40" s="151">
        <f t="shared" si="14"/>
        <v>5372.8940236084436</v>
      </c>
    </row>
    <row r="41" spans="1:23" s="39" customFormat="1">
      <c r="A41" s="90"/>
      <c r="B41" s="32"/>
      <c r="C41" s="73"/>
      <c r="D41" s="73"/>
      <c r="E41" s="18"/>
      <c r="F41" s="18"/>
      <c r="G41" s="18"/>
      <c r="H41" s="18"/>
      <c r="I41" s="18"/>
      <c r="J41" s="87"/>
      <c r="K41" s="87"/>
      <c r="L41" s="87"/>
      <c r="M41" s="87"/>
      <c r="N41" s="87"/>
      <c r="O41" s="175"/>
      <c r="P41" s="175"/>
      <c r="Q41" s="150"/>
      <c r="R41" s="150"/>
      <c r="S41" s="150"/>
      <c r="T41" s="150"/>
      <c r="U41" s="150"/>
      <c r="V41" s="150"/>
      <c r="W41" s="150"/>
    </row>
    <row r="42" spans="1:23" s="39" customFormat="1">
      <c r="A42" s="90"/>
      <c r="B42" s="32" t="s">
        <v>46</v>
      </c>
      <c r="C42" s="74">
        <f t="shared" ref="C42:N42" si="17">+C17+C36+C40</f>
        <v>326085.06000000006</v>
      </c>
      <c r="D42" s="74">
        <f t="shared" si="17"/>
        <v>360664.06999999995</v>
      </c>
      <c r="E42" s="66">
        <f>+E17+E36+E40</f>
        <v>442595.63999999996</v>
      </c>
      <c r="F42" s="66">
        <f t="shared" si="17"/>
        <v>529773.41</v>
      </c>
      <c r="G42" s="66">
        <f t="shared" si="17"/>
        <v>586359.65099999995</v>
      </c>
      <c r="H42" s="66">
        <f>+H17+H36+H40</f>
        <v>661659.9</v>
      </c>
      <c r="I42" s="66">
        <f>+I17+I36+I40</f>
        <v>768792.44000000006</v>
      </c>
      <c r="J42" s="87">
        <f t="shared" si="17"/>
        <v>113.68658442493512</v>
      </c>
      <c r="K42" s="87">
        <f t="shared" si="17"/>
        <v>115.32287849537649</v>
      </c>
      <c r="L42" s="87">
        <f t="shared" si="17"/>
        <v>116.9375860573638</v>
      </c>
      <c r="M42" s="87">
        <f t="shared" si="17"/>
        <v>118.54834727360131</v>
      </c>
      <c r="N42" s="87">
        <f t="shared" si="17"/>
        <v>120.16318842535682</v>
      </c>
      <c r="O42" s="175">
        <f>+O17+O36+O40</f>
        <v>121.72085102981136</v>
      </c>
      <c r="P42" s="175">
        <f>+P17+P36+P40</f>
        <v>123.30432178669072</v>
      </c>
      <c r="Q42" s="151">
        <f t="shared" ref="Q42:W42" si="18">+C42/J42</f>
        <v>2868.2809115028626</v>
      </c>
      <c r="R42" s="151">
        <f t="shared" si="18"/>
        <v>3127.4286135206003</v>
      </c>
      <c r="S42" s="151">
        <f t="shared" si="18"/>
        <v>3784.8877757993432</v>
      </c>
      <c r="T42" s="151">
        <f t="shared" si="18"/>
        <v>4468.8384290783906</v>
      </c>
      <c r="U42" s="151">
        <f t="shared" si="18"/>
        <v>4879.6945111375426</v>
      </c>
      <c r="V42" s="151">
        <f t="shared" si="18"/>
        <v>5435.8796738773135</v>
      </c>
      <c r="W42" s="151">
        <f t="shared" si="18"/>
        <v>6234.9188484241949</v>
      </c>
    </row>
    <row r="43" spans="1:23" ht="15.75">
      <c r="B43" s="628" t="s">
        <v>187</v>
      </c>
      <c r="C43" s="628"/>
      <c r="D43" s="628"/>
      <c r="E43" s="628"/>
      <c r="F43" s="628"/>
      <c r="G43" s="628"/>
      <c r="H43" s="628"/>
      <c r="I43" s="628"/>
      <c r="J43" s="628"/>
    </row>
  </sheetData>
  <mergeCells count="8">
    <mergeCell ref="B43:J43"/>
    <mergeCell ref="J4:P4"/>
    <mergeCell ref="Q2:W2"/>
    <mergeCell ref="A1:W1"/>
    <mergeCell ref="B2:B3"/>
    <mergeCell ref="A2:A3"/>
    <mergeCell ref="C2:I2"/>
    <mergeCell ref="J2:P2"/>
  </mergeCells>
  <phoneticPr fontId="42" type="noConversion"/>
  <printOptions horizontalCentered="1"/>
  <pageMargins left="0.15748031496062992" right="0.15748031496062992" top="0.78740157480314965" bottom="0.39370078740157483" header="0" footer="0"/>
  <pageSetup paperSize="9" scale="53" orientation="landscape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P44"/>
  <sheetViews>
    <sheetView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B5" sqref="B5"/>
    </sheetView>
  </sheetViews>
  <sheetFormatPr defaultRowHeight="12.75"/>
  <cols>
    <col min="1" max="1" width="5.42578125" style="101" customWidth="1"/>
    <col min="2" max="2" width="36.140625" style="101" customWidth="1"/>
    <col min="3" max="3" width="12.28515625" style="101" customWidth="1"/>
    <col min="4" max="6" width="11.140625" style="101" customWidth="1"/>
    <col min="7" max="7" width="11.140625" style="154" customWidth="1"/>
    <col min="8" max="8" width="11.42578125" style="154" customWidth="1"/>
    <col min="9" max="9" width="10.85546875" style="154" customWidth="1"/>
    <col min="10" max="11" width="11.42578125" style="101" customWidth="1"/>
    <col min="12" max="12" width="11.28515625" style="101" bestFit="1" customWidth="1"/>
    <col min="13" max="13" width="12.42578125" style="101" customWidth="1"/>
    <col min="14" max="14" width="12.42578125" style="154" customWidth="1"/>
    <col min="15" max="15" width="12.5703125" style="154" bestFit="1" customWidth="1"/>
    <col min="16" max="16" width="12.140625" style="154" customWidth="1"/>
    <col min="17" max="16384" width="9.140625" style="101"/>
  </cols>
  <sheetData>
    <row r="1" spans="1:16" ht="27.75" customHeight="1">
      <c r="A1" s="682" t="s">
        <v>121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</row>
    <row r="2" spans="1:16" ht="21.75" customHeight="1">
      <c r="A2" s="684" t="s">
        <v>47</v>
      </c>
      <c r="B2" s="683" t="s">
        <v>1</v>
      </c>
      <c r="C2" s="685" t="s">
        <v>88</v>
      </c>
      <c r="D2" s="685"/>
      <c r="E2" s="685"/>
      <c r="F2" s="685"/>
      <c r="G2" s="685"/>
      <c r="H2" s="685"/>
      <c r="I2" s="685"/>
      <c r="J2" s="685" t="s">
        <v>89</v>
      </c>
      <c r="K2" s="685"/>
      <c r="L2" s="685"/>
      <c r="M2" s="685"/>
      <c r="N2" s="685"/>
      <c r="O2" s="685"/>
      <c r="P2" s="685"/>
    </row>
    <row r="3" spans="1:16" ht="34.5" customHeight="1">
      <c r="A3" s="684"/>
      <c r="B3" s="683"/>
      <c r="C3" s="106" t="s">
        <v>59</v>
      </c>
      <c r="D3" s="106" t="s">
        <v>60</v>
      </c>
      <c r="E3" s="106" t="s">
        <v>61</v>
      </c>
      <c r="F3" s="106" t="s">
        <v>124</v>
      </c>
      <c r="G3" s="156" t="s">
        <v>173</v>
      </c>
      <c r="H3" s="156" t="s">
        <v>172</v>
      </c>
      <c r="I3" s="156" t="s">
        <v>153</v>
      </c>
      <c r="J3" s="106" t="s">
        <v>59</v>
      </c>
      <c r="K3" s="106" t="s">
        <v>60</v>
      </c>
      <c r="L3" s="106" t="s">
        <v>61</v>
      </c>
      <c r="M3" s="106" t="s">
        <v>124</v>
      </c>
      <c r="N3" s="156" t="s">
        <v>173</v>
      </c>
      <c r="O3" s="156" t="s">
        <v>172</v>
      </c>
      <c r="P3" s="156" t="s">
        <v>153</v>
      </c>
    </row>
    <row r="4" spans="1:16" ht="23.25" customHeight="1">
      <c r="A4" s="213"/>
      <c r="B4" s="122">
        <v>41834</v>
      </c>
      <c r="C4" s="214"/>
      <c r="D4" s="214"/>
      <c r="E4" s="214"/>
      <c r="F4" s="214"/>
      <c r="G4" s="215"/>
      <c r="H4" s="215"/>
      <c r="I4" s="152"/>
      <c r="J4" s="100"/>
      <c r="K4" s="100"/>
      <c r="L4" s="100"/>
      <c r="M4" s="100"/>
      <c r="N4" s="152"/>
      <c r="O4" s="152"/>
      <c r="P4" s="152"/>
    </row>
    <row r="5" spans="1:16" ht="23.25" customHeight="1">
      <c r="A5" s="100"/>
      <c r="B5" s="116" t="s">
        <v>11</v>
      </c>
      <c r="C5" s="158"/>
      <c r="D5" s="158"/>
      <c r="E5" s="158"/>
      <c r="F5" s="158"/>
      <c r="G5" s="153"/>
      <c r="H5" s="153"/>
      <c r="I5" s="152"/>
      <c r="J5" s="100"/>
      <c r="K5" s="100"/>
      <c r="L5" s="100"/>
      <c r="M5" s="100"/>
      <c r="N5" s="152"/>
      <c r="O5" s="152"/>
      <c r="P5" s="152"/>
    </row>
    <row r="6" spans="1:16" ht="23.25" customHeight="1">
      <c r="A6" s="99">
        <v>1</v>
      </c>
      <c r="B6" s="100" t="s">
        <v>51</v>
      </c>
      <c r="C6" s="208">
        <v>80.430000000000007</v>
      </c>
      <c r="D6" s="208">
        <v>130.75</v>
      </c>
      <c r="E6" s="208">
        <v>183.84</v>
      </c>
      <c r="F6" s="208">
        <v>222.24</v>
      </c>
      <c r="G6" s="216">
        <v>237.98</v>
      </c>
      <c r="H6" s="216">
        <v>330.7</v>
      </c>
      <c r="I6" s="216">
        <v>313.5</v>
      </c>
      <c r="J6" s="209">
        <v>2428.83</v>
      </c>
      <c r="K6" s="209">
        <v>3023.37</v>
      </c>
      <c r="L6" s="194">
        <v>3695.59</v>
      </c>
      <c r="M6" s="194">
        <v>3744.21</v>
      </c>
      <c r="N6" s="181">
        <v>4417.8599999999997</v>
      </c>
      <c r="O6" s="181">
        <v>4790.0600000000004</v>
      </c>
      <c r="P6" s="181">
        <v>4634.16</v>
      </c>
    </row>
    <row r="7" spans="1:16" ht="23.25" customHeight="1">
      <c r="A7" s="99">
        <v>2</v>
      </c>
      <c r="B7" s="100" t="s">
        <v>13</v>
      </c>
      <c r="C7" s="186">
        <v>1340.67</v>
      </c>
      <c r="D7" s="186">
        <v>1435.81</v>
      </c>
      <c r="E7" s="186">
        <v>1769.28</v>
      </c>
      <c r="F7" s="208">
        <v>3136.07</v>
      </c>
      <c r="G7" s="217">
        <v>209.46</v>
      </c>
      <c r="H7" s="217">
        <v>164.77</v>
      </c>
      <c r="I7" s="217">
        <v>3794.64</v>
      </c>
      <c r="J7" s="158">
        <v>12744.16</v>
      </c>
      <c r="K7" s="158">
        <v>14261.07</v>
      </c>
      <c r="L7" s="64">
        <v>17837.14</v>
      </c>
      <c r="M7" s="194">
        <v>27187.89</v>
      </c>
      <c r="N7" s="164">
        <v>27286.85</v>
      </c>
      <c r="O7" s="164">
        <v>30932.05</v>
      </c>
      <c r="P7" s="164">
        <v>33633.870000000003</v>
      </c>
    </row>
    <row r="8" spans="1:16" ht="23.25" customHeight="1">
      <c r="A8" s="99">
        <v>3</v>
      </c>
      <c r="B8" s="100" t="s">
        <v>14</v>
      </c>
      <c r="C8" s="208">
        <v>949.32</v>
      </c>
      <c r="D8" s="186">
        <v>1153.92</v>
      </c>
      <c r="E8" s="186">
        <v>1348.46</v>
      </c>
      <c r="F8" s="186">
        <v>2105.39</v>
      </c>
      <c r="G8" s="217">
        <v>2216.81</v>
      </c>
      <c r="H8" s="217">
        <v>2746.84</v>
      </c>
      <c r="I8" s="217">
        <v>3146.09</v>
      </c>
      <c r="J8" s="158">
        <v>8291.76</v>
      </c>
      <c r="K8" s="158">
        <v>9438.1299999999992</v>
      </c>
      <c r="L8" s="64">
        <v>11151.01</v>
      </c>
      <c r="M8" s="194">
        <v>13946.05</v>
      </c>
      <c r="N8" s="164">
        <v>13897.97</v>
      </c>
      <c r="O8" s="164">
        <v>16174.25</v>
      </c>
      <c r="P8" s="164">
        <v>18003.150000000001</v>
      </c>
    </row>
    <row r="9" spans="1:16" ht="23.25" customHeight="1">
      <c r="A9" s="99">
        <v>4</v>
      </c>
      <c r="B9" s="100" t="s">
        <v>52</v>
      </c>
      <c r="C9" s="186">
        <v>1192.96</v>
      </c>
      <c r="D9" s="186">
        <v>1269.4000000000001</v>
      </c>
      <c r="E9" s="186">
        <v>1567.6</v>
      </c>
      <c r="F9" s="186">
        <v>2242.9299999999998</v>
      </c>
      <c r="G9" s="216">
        <v>3296.5</v>
      </c>
      <c r="H9" s="217">
        <v>3462.95</v>
      </c>
      <c r="I9" s="217">
        <v>3600</v>
      </c>
      <c r="J9" s="158">
        <v>12189.29</v>
      </c>
      <c r="K9" s="158">
        <v>12047.45</v>
      </c>
      <c r="L9" s="64">
        <v>15323.89</v>
      </c>
      <c r="M9" s="64">
        <v>18466.8</v>
      </c>
      <c r="N9" s="181">
        <v>22680.48</v>
      </c>
      <c r="O9" s="164">
        <v>25117.22</v>
      </c>
      <c r="P9" s="164">
        <v>28660</v>
      </c>
    </row>
    <row r="10" spans="1:16" ht="23.25" customHeight="1">
      <c r="A10" s="99">
        <v>5</v>
      </c>
      <c r="B10" s="100" t="s">
        <v>16</v>
      </c>
      <c r="C10" s="186">
        <v>205.75</v>
      </c>
      <c r="D10" s="186">
        <v>267.06</v>
      </c>
      <c r="E10" s="186">
        <v>292.79000000000002</v>
      </c>
      <c r="F10" s="186">
        <v>400.17</v>
      </c>
      <c r="G10" s="217">
        <v>628.15</v>
      </c>
      <c r="H10" s="217">
        <v>760.28</v>
      </c>
      <c r="I10" s="217">
        <v>866.04</v>
      </c>
      <c r="J10" s="158">
        <v>2292.52</v>
      </c>
      <c r="K10" s="158">
        <v>2622.29</v>
      </c>
      <c r="L10" s="64">
        <v>3014.4</v>
      </c>
      <c r="M10" s="64">
        <v>4078.01</v>
      </c>
      <c r="N10" s="164">
        <v>5006.91</v>
      </c>
      <c r="O10" s="164">
        <v>5316.53</v>
      </c>
      <c r="P10" s="164">
        <v>6693.35</v>
      </c>
    </row>
    <row r="11" spans="1:16" ht="23.25" customHeight="1">
      <c r="A11" s="99">
        <v>6</v>
      </c>
      <c r="B11" s="100" t="s">
        <v>17</v>
      </c>
      <c r="C11" s="186">
        <v>134.69999999999999</v>
      </c>
      <c r="D11" s="186">
        <v>171.76</v>
      </c>
      <c r="E11" s="186">
        <v>207.89</v>
      </c>
      <c r="F11" s="186">
        <v>299.62</v>
      </c>
      <c r="G11" s="217">
        <v>375.78</v>
      </c>
      <c r="H11" s="217">
        <v>388.25</v>
      </c>
      <c r="I11" s="217">
        <v>335.11</v>
      </c>
      <c r="J11" s="158">
        <v>2253.67</v>
      </c>
      <c r="K11" s="158">
        <v>2682.78</v>
      </c>
      <c r="L11" s="64">
        <v>3182.38</v>
      </c>
      <c r="M11" s="64">
        <v>4012.74</v>
      </c>
      <c r="N11" s="164">
        <v>4834.8100000000004</v>
      </c>
      <c r="O11" s="164">
        <v>4999.53</v>
      </c>
      <c r="P11" s="164">
        <v>7333.26</v>
      </c>
    </row>
    <row r="12" spans="1:16" ht="23.25" customHeight="1">
      <c r="A12" s="99">
        <v>7</v>
      </c>
      <c r="B12" s="100" t="s">
        <v>18</v>
      </c>
      <c r="C12" s="186">
        <v>97.14</v>
      </c>
      <c r="D12" s="186">
        <v>126.05</v>
      </c>
      <c r="E12" s="186">
        <v>164.26</v>
      </c>
      <c r="F12" s="210">
        <v>248.75</v>
      </c>
      <c r="G12" s="217">
        <v>298.36</v>
      </c>
      <c r="H12" s="217">
        <v>370.52</v>
      </c>
      <c r="I12" s="217">
        <v>381.84</v>
      </c>
      <c r="J12" s="158">
        <v>1788.9</v>
      </c>
      <c r="K12" s="158">
        <v>2157.13</v>
      </c>
      <c r="L12" s="194">
        <v>2556.33</v>
      </c>
      <c r="M12" s="194">
        <v>3055.69</v>
      </c>
      <c r="N12" s="181">
        <v>3697.32</v>
      </c>
      <c r="O12" s="181">
        <v>4508.91</v>
      </c>
      <c r="P12" s="164">
        <v>4920.54</v>
      </c>
    </row>
    <row r="13" spans="1:16" ht="23.25" customHeight="1">
      <c r="A13" s="99">
        <v>8</v>
      </c>
      <c r="B13" s="100" t="s">
        <v>19</v>
      </c>
      <c r="C13" s="186">
        <v>259.73</v>
      </c>
      <c r="D13" s="186">
        <v>228.96</v>
      </c>
      <c r="E13" s="186">
        <v>279.06</v>
      </c>
      <c r="F13" s="186">
        <v>335.97</v>
      </c>
      <c r="G13" s="217">
        <v>586.67999999999995</v>
      </c>
      <c r="H13" s="217">
        <v>665.28</v>
      </c>
      <c r="I13" s="217">
        <v>736.72</v>
      </c>
      <c r="J13" s="158">
        <v>2572.27</v>
      </c>
      <c r="K13" s="158">
        <v>2889.54</v>
      </c>
      <c r="L13" s="64">
        <v>3252.44</v>
      </c>
      <c r="M13" s="64">
        <v>4187.84</v>
      </c>
      <c r="N13" s="164">
        <v>4875.66</v>
      </c>
      <c r="O13" s="164">
        <v>5732.5</v>
      </c>
      <c r="P13" s="164">
        <v>6570</v>
      </c>
    </row>
    <row r="14" spans="1:16" ht="23.25" customHeight="1">
      <c r="A14" s="99">
        <v>9</v>
      </c>
      <c r="B14" s="100" t="s">
        <v>20</v>
      </c>
      <c r="C14" s="186">
        <v>50.19</v>
      </c>
      <c r="D14" s="186">
        <v>59.45</v>
      </c>
      <c r="E14" s="186">
        <v>125.75</v>
      </c>
      <c r="F14" s="186">
        <v>160.13999999999999</v>
      </c>
      <c r="G14" s="217">
        <v>173.76</v>
      </c>
      <c r="H14" s="217">
        <v>225.17</v>
      </c>
      <c r="I14" s="217">
        <v>283.57</v>
      </c>
      <c r="J14" s="158">
        <v>1146.8699999999999</v>
      </c>
      <c r="K14" s="158">
        <v>1380.55</v>
      </c>
      <c r="L14" s="64">
        <v>1829.02</v>
      </c>
      <c r="M14" s="64">
        <v>2011.91</v>
      </c>
      <c r="N14" s="164">
        <v>2429.61</v>
      </c>
      <c r="O14" s="164">
        <v>2507.39</v>
      </c>
      <c r="P14" s="164">
        <v>3247.28</v>
      </c>
    </row>
    <row r="15" spans="1:16" ht="23.25" customHeight="1">
      <c r="A15" s="99">
        <v>10</v>
      </c>
      <c r="B15" s="100" t="s">
        <v>21</v>
      </c>
      <c r="C15" s="186">
        <v>315.29000000000002</v>
      </c>
      <c r="D15" s="186">
        <v>356.43</v>
      </c>
      <c r="E15" s="186">
        <v>559.89</v>
      </c>
      <c r="F15" s="186">
        <v>654.77</v>
      </c>
      <c r="G15" s="217">
        <v>730.02</v>
      </c>
      <c r="H15" s="217">
        <v>694.19</v>
      </c>
      <c r="I15" s="217">
        <v>720</v>
      </c>
      <c r="J15" s="158">
        <v>2793.62</v>
      </c>
      <c r="K15" s="209">
        <v>3129.45</v>
      </c>
      <c r="L15" s="64">
        <v>4213.79</v>
      </c>
      <c r="M15" s="64">
        <v>4359.4799999999996</v>
      </c>
      <c r="N15" s="164">
        <v>4809.2299999999996</v>
      </c>
      <c r="O15" s="164">
        <v>5212.88</v>
      </c>
      <c r="P15" s="164">
        <v>6765.39</v>
      </c>
    </row>
    <row r="16" spans="1:16" ht="23.25" customHeight="1">
      <c r="A16" s="99">
        <v>11</v>
      </c>
      <c r="B16" s="100" t="s">
        <v>22</v>
      </c>
      <c r="C16" s="186">
        <v>622.87</v>
      </c>
      <c r="D16" s="186">
        <v>828.25</v>
      </c>
      <c r="E16" s="210">
        <v>1047.3</v>
      </c>
      <c r="F16" s="186">
        <v>1141.72</v>
      </c>
      <c r="G16" s="217">
        <v>1135.0999999999999</v>
      </c>
      <c r="H16" s="217">
        <v>1365.69</v>
      </c>
      <c r="I16" s="217">
        <v>1989.55</v>
      </c>
      <c r="J16" s="158">
        <v>7254.56</v>
      </c>
      <c r="K16" s="158">
        <v>8395.36</v>
      </c>
      <c r="L16" s="64">
        <v>10657.48</v>
      </c>
      <c r="M16" s="196">
        <v>11621.08</v>
      </c>
      <c r="N16" s="164">
        <v>12975.19</v>
      </c>
      <c r="O16" s="164">
        <v>13960.22</v>
      </c>
      <c r="P16" s="164">
        <v>18054.2</v>
      </c>
    </row>
    <row r="17" spans="1:16" s="159" customFormat="1" ht="23.25" customHeight="1">
      <c r="A17" s="116"/>
      <c r="B17" s="116" t="s">
        <v>62</v>
      </c>
      <c r="C17" s="211">
        <f t="shared" ref="C17:I17" si="0">SUM(C6:C16)</f>
        <v>5249.0499999999993</v>
      </c>
      <c r="D17" s="211">
        <f t="shared" si="0"/>
        <v>6027.8400000000011</v>
      </c>
      <c r="E17" s="211">
        <f t="shared" si="0"/>
        <v>7546.1200000000017</v>
      </c>
      <c r="F17" s="211">
        <f t="shared" si="0"/>
        <v>10947.77</v>
      </c>
      <c r="G17" s="218">
        <f t="shared" si="0"/>
        <v>9888.6</v>
      </c>
      <c r="H17" s="218">
        <f t="shared" si="0"/>
        <v>11174.640000000001</v>
      </c>
      <c r="I17" s="218">
        <f t="shared" si="0"/>
        <v>16167.06</v>
      </c>
      <c r="J17" s="211">
        <f t="shared" ref="J17:P17" si="1">SUM(J6:J16)</f>
        <v>55756.45</v>
      </c>
      <c r="K17" s="211">
        <f t="shared" si="1"/>
        <v>62027.12</v>
      </c>
      <c r="L17" s="102">
        <f t="shared" si="1"/>
        <v>76713.469999999987</v>
      </c>
      <c r="M17" s="102">
        <f t="shared" si="1"/>
        <v>96671.7</v>
      </c>
      <c r="N17" s="157">
        <f t="shared" si="1"/>
        <v>106911.89000000001</v>
      </c>
      <c r="O17" s="157">
        <f t="shared" si="1"/>
        <v>119251.54000000001</v>
      </c>
      <c r="P17" s="157">
        <f t="shared" si="1"/>
        <v>138515.19999999998</v>
      </c>
    </row>
    <row r="18" spans="1:16" s="159" customFormat="1" ht="23.25" customHeight="1">
      <c r="A18" s="116"/>
      <c r="B18" s="116" t="s">
        <v>24</v>
      </c>
      <c r="C18" s="211"/>
      <c r="D18" s="211"/>
      <c r="E18" s="211"/>
      <c r="F18" s="211"/>
      <c r="G18" s="218"/>
      <c r="H18" s="218"/>
      <c r="I18" s="218"/>
      <c r="J18" s="102"/>
      <c r="K18" s="102"/>
      <c r="L18" s="102"/>
      <c r="M18" s="102"/>
      <c r="N18" s="157"/>
      <c r="O18" s="157"/>
      <c r="P18" s="157"/>
    </row>
    <row r="19" spans="1:16" ht="23.25" customHeight="1">
      <c r="A19" s="99">
        <v>12</v>
      </c>
      <c r="B19" s="100" t="s">
        <v>25</v>
      </c>
      <c r="C19" s="186">
        <v>5092.13</v>
      </c>
      <c r="D19" s="186">
        <v>5518.46</v>
      </c>
      <c r="E19" s="186">
        <v>6339.02</v>
      </c>
      <c r="F19" s="186">
        <v>9609.42</v>
      </c>
      <c r="G19" s="217">
        <v>11109.85</v>
      </c>
      <c r="H19" s="217">
        <v>12089.3</v>
      </c>
      <c r="I19" s="217">
        <v>14209.45</v>
      </c>
      <c r="J19" s="158">
        <v>53983.56</v>
      </c>
      <c r="K19" s="158">
        <v>61854.22</v>
      </c>
      <c r="L19" s="158">
        <v>63447.93</v>
      </c>
      <c r="M19" s="158">
        <v>78534.25</v>
      </c>
      <c r="N19" s="153">
        <v>90415.360000000001</v>
      </c>
      <c r="O19" s="153">
        <v>102702.39999999999</v>
      </c>
      <c r="P19" s="153">
        <v>126749.41</v>
      </c>
    </row>
    <row r="20" spans="1:16" ht="23.25" customHeight="1">
      <c r="A20" s="99">
        <v>13</v>
      </c>
      <c r="B20" s="100" t="s">
        <v>26</v>
      </c>
      <c r="C20" s="186">
        <v>2788.94</v>
      </c>
      <c r="D20" s="186">
        <v>3479.03</v>
      </c>
      <c r="E20" s="186">
        <v>4318.7</v>
      </c>
      <c r="F20" s="186">
        <v>6143.86</v>
      </c>
      <c r="G20" s="217">
        <v>7808.45</v>
      </c>
      <c r="H20" s="217">
        <v>8362.75</v>
      </c>
      <c r="I20" s="217">
        <v>11274.04</v>
      </c>
      <c r="J20" s="158">
        <v>23562.87</v>
      </c>
      <c r="K20" s="158">
        <v>28511.57</v>
      </c>
      <c r="L20" s="158">
        <v>32584.18</v>
      </c>
      <c r="M20" s="158">
        <v>38215.910000000003</v>
      </c>
      <c r="N20" s="153">
        <v>46499.49</v>
      </c>
      <c r="O20" s="153">
        <v>54466.15</v>
      </c>
      <c r="P20" s="153">
        <v>73257.62</v>
      </c>
    </row>
    <row r="21" spans="1:16" ht="23.25" customHeight="1">
      <c r="A21" s="99">
        <v>14</v>
      </c>
      <c r="B21" s="100" t="s">
        <v>27</v>
      </c>
      <c r="C21" s="186">
        <v>684.51</v>
      </c>
      <c r="D21" s="186">
        <v>930.77</v>
      </c>
      <c r="E21" s="186">
        <v>1233.76</v>
      </c>
      <c r="F21" s="186">
        <v>1810.32</v>
      </c>
      <c r="G21" s="217">
        <v>1877.87</v>
      </c>
      <c r="H21" s="217">
        <v>2414.14</v>
      </c>
      <c r="I21" s="217">
        <v>2504.6999999999998</v>
      </c>
      <c r="J21" s="158">
        <v>10839.85</v>
      </c>
      <c r="K21" s="158">
        <v>13793.7</v>
      </c>
      <c r="L21" s="158">
        <v>17265.439999999999</v>
      </c>
      <c r="M21" s="158">
        <v>19355.75</v>
      </c>
      <c r="N21" s="153">
        <v>22628.05</v>
      </c>
      <c r="O21" s="153">
        <v>26971.84</v>
      </c>
      <c r="P21" s="153">
        <v>35015.85</v>
      </c>
    </row>
    <row r="22" spans="1:16" ht="23.25" customHeight="1">
      <c r="A22" s="99">
        <v>15</v>
      </c>
      <c r="B22" s="100" t="s">
        <v>28</v>
      </c>
      <c r="C22" s="186">
        <v>144.38</v>
      </c>
      <c r="D22" s="186">
        <v>213.87</v>
      </c>
      <c r="E22" s="186">
        <v>347.55</v>
      </c>
      <c r="F22" s="186">
        <v>373.81</v>
      </c>
      <c r="G22" s="216">
        <v>411.19</v>
      </c>
      <c r="H22" s="216">
        <v>470</v>
      </c>
      <c r="I22" s="216">
        <v>500</v>
      </c>
      <c r="J22" s="158">
        <v>2137.69</v>
      </c>
      <c r="K22" s="158">
        <v>2619.14</v>
      </c>
      <c r="L22" s="158">
        <v>3428.5</v>
      </c>
      <c r="M22" s="158">
        <v>4243.8100000000004</v>
      </c>
      <c r="N22" s="219">
        <v>5135.8</v>
      </c>
      <c r="O22" s="219">
        <v>5431.48</v>
      </c>
      <c r="P22" s="219">
        <v>7510.43</v>
      </c>
    </row>
    <row r="23" spans="1:16" ht="23.25" customHeight="1">
      <c r="A23" s="99">
        <v>16</v>
      </c>
      <c r="B23" s="100" t="s">
        <v>29</v>
      </c>
      <c r="C23" s="186">
        <v>2979.38</v>
      </c>
      <c r="D23" s="186">
        <v>2962.81</v>
      </c>
      <c r="E23" s="186">
        <v>4513</v>
      </c>
      <c r="F23" s="186">
        <v>5779.43</v>
      </c>
      <c r="G23" s="216">
        <v>6144.84</v>
      </c>
      <c r="H23" s="216">
        <v>6699.83</v>
      </c>
      <c r="I23" s="216">
        <v>7269.81</v>
      </c>
      <c r="J23" s="158">
        <v>32504.799999999999</v>
      </c>
      <c r="K23" s="158">
        <v>37457.839999999997</v>
      </c>
      <c r="L23" s="158">
        <v>47276.13</v>
      </c>
      <c r="M23" s="158">
        <v>56196.76</v>
      </c>
      <c r="N23" s="219">
        <v>59744.46</v>
      </c>
      <c r="O23" s="219">
        <v>69833.33</v>
      </c>
      <c r="P23" s="219">
        <v>81150.399999999994</v>
      </c>
    </row>
    <row r="24" spans="1:16" ht="23.25" customHeight="1">
      <c r="A24" s="99">
        <v>17</v>
      </c>
      <c r="B24" s="100" t="s">
        <v>30</v>
      </c>
      <c r="C24" s="186">
        <v>1298</v>
      </c>
      <c r="D24" s="186">
        <v>1614</v>
      </c>
      <c r="E24" s="186">
        <v>2390</v>
      </c>
      <c r="F24" s="186">
        <v>3094</v>
      </c>
      <c r="G24" s="217">
        <v>3204</v>
      </c>
      <c r="H24" s="217">
        <v>3636</v>
      </c>
      <c r="I24" s="216">
        <v>3820</v>
      </c>
      <c r="J24" s="158">
        <v>17527</v>
      </c>
      <c r="K24" s="158">
        <v>20535</v>
      </c>
      <c r="L24" s="158">
        <v>25257</v>
      </c>
      <c r="M24" s="158">
        <v>28310</v>
      </c>
      <c r="N24" s="153">
        <v>32015</v>
      </c>
      <c r="O24" s="153">
        <v>37901</v>
      </c>
      <c r="P24" s="219">
        <v>46223.56</v>
      </c>
    </row>
    <row r="25" spans="1:16" ht="23.25" customHeight="1">
      <c r="A25" s="99">
        <v>18</v>
      </c>
      <c r="B25" s="100" t="s">
        <v>31</v>
      </c>
      <c r="C25" s="186">
        <v>818.32</v>
      </c>
      <c r="D25" s="186">
        <v>988.4</v>
      </c>
      <c r="E25" s="186">
        <v>1680.83</v>
      </c>
      <c r="F25" s="186">
        <v>2081.1</v>
      </c>
      <c r="G25" s="217">
        <v>2296.69</v>
      </c>
      <c r="H25" s="217">
        <v>2931.19</v>
      </c>
      <c r="I25" s="217">
        <v>3061.26</v>
      </c>
      <c r="J25" s="158">
        <v>10831.97</v>
      </c>
      <c r="K25" s="158">
        <v>12876.9</v>
      </c>
      <c r="L25" s="158">
        <v>15128.24</v>
      </c>
      <c r="M25" s="158">
        <v>17944.73</v>
      </c>
      <c r="N25" s="153">
        <v>20991.58</v>
      </c>
      <c r="O25" s="153">
        <v>23399.87</v>
      </c>
      <c r="P25" s="153">
        <v>30435.08</v>
      </c>
    </row>
    <row r="26" spans="1:16" ht="23.25" customHeight="1">
      <c r="A26" s="99">
        <v>19</v>
      </c>
      <c r="B26" s="100" t="s">
        <v>32</v>
      </c>
      <c r="C26" s="186">
        <v>3240.58</v>
      </c>
      <c r="D26" s="186">
        <v>4112.63</v>
      </c>
      <c r="E26" s="186">
        <v>3408</v>
      </c>
      <c r="F26" s="186">
        <v>4070</v>
      </c>
      <c r="G26" s="217">
        <v>5436</v>
      </c>
      <c r="H26" s="217">
        <v>7227</v>
      </c>
      <c r="I26" s="217">
        <v>8500</v>
      </c>
      <c r="J26" s="158">
        <v>37375</v>
      </c>
      <c r="K26" s="158">
        <v>41659</v>
      </c>
      <c r="L26" s="158">
        <v>47537</v>
      </c>
      <c r="M26" s="158">
        <v>54034</v>
      </c>
      <c r="N26" s="153">
        <v>65115</v>
      </c>
      <c r="O26" s="153">
        <v>76293</v>
      </c>
      <c r="P26" s="153">
        <v>97391</v>
      </c>
    </row>
    <row r="27" spans="1:16" ht="23.25" customHeight="1">
      <c r="A27" s="99">
        <v>20</v>
      </c>
      <c r="B27" s="100" t="s">
        <v>33</v>
      </c>
      <c r="C27" s="186">
        <v>4924.53</v>
      </c>
      <c r="D27" s="186">
        <v>4686.43</v>
      </c>
      <c r="E27" s="186">
        <v>4705.5</v>
      </c>
      <c r="F27" s="186">
        <v>5767.49</v>
      </c>
      <c r="G27" s="217">
        <v>14948.97</v>
      </c>
      <c r="H27" s="217">
        <v>16254.37</v>
      </c>
      <c r="I27" s="217">
        <v>9860</v>
      </c>
      <c r="J27" s="158">
        <v>24891.63</v>
      </c>
      <c r="K27" s="158">
        <v>28223.86</v>
      </c>
      <c r="L27" s="158">
        <v>31132.38</v>
      </c>
      <c r="M27" s="158">
        <v>34664.81</v>
      </c>
      <c r="N27" s="153">
        <v>46044.62</v>
      </c>
      <c r="O27" s="153">
        <v>51605.36</v>
      </c>
      <c r="P27" s="153">
        <v>52051.59</v>
      </c>
    </row>
    <row r="28" spans="1:16" ht="23.25" customHeight="1">
      <c r="A28" s="99">
        <v>21</v>
      </c>
      <c r="B28" s="100" t="s">
        <v>34</v>
      </c>
      <c r="C28" s="186">
        <v>1964.29</v>
      </c>
      <c r="D28" s="186">
        <v>2433.0500000000002</v>
      </c>
      <c r="E28" s="186">
        <v>3077.18</v>
      </c>
      <c r="F28" s="186">
        <v>3766.53</v>
      </c>
      <c r="G28" s="216">
        <v>4388.91</v>
      </c>
      <c r="H28" s="217">
        <v>4946.79</v>
      </c>
      <c r="I28" s="217">
        <v>6530.85</v>
      </c>
      <c r="J28" s="158">
        <v>25601.11</v>
      </c>
      <c r="K28" s="158">
        <v>29513.88</v>
      </c>
      <c r="L28" s="158">
        <v>35896.9</v>
      </c>
      <c r="M28" s="158">
        <v>45011.59</v>
      </c>
      <c r="N28" s="153">
        <v>52693.71</v>
      </c>
      <c r="O28" s="153">
        <v>62968.54</v>
      </c>
      <c r="P28" s="153">
        <v>74388.639999999999</v>
      </c>
    </row>
    <row r="29" spans="1:16" ht="23.25" customHeight="1">
      <c r="A29" s="99">
        <v>22</v>
      </c>
      <c r="B29" s="100" t="s">
        <v>35</v>
      </c>
      <c r="C29" s="186">
        <v>4682.29</v>
      </c>
      <c r="D29" s="186">
        <v>6331</v>
      </c>
      <c r="E29" s="186">
        <v>6946.12</v>
      </c>
      <c r="F29" s="186">
        <v>9885.81</v>
      </c>
      <c r="G29" s="217">
        <v>10503.33</v>
      </c>
      <c r="H29" s="217">
        <v>13393</v>
      </c>
      <c r="I29" s="216">
        <v>12347.539999999999</v>
      </c>
      <c r="J29" s="158">
        <v>64780.05</v>
      </c>
      <c r="K29" s="158">
        <v>75693.91</v>
      </c>
      <c r="L29" s="158">
        <v>94915.98</v>
      </c>
      <c r="M29" s="158">
        <v>106459.26</v>
      </c>
      <c r="N29" s="153">
        <v>123554.2</v>
      </c>
      <c r="O29" s="153">
        <v>136559.22</v>
      </c>
      <c r="P29" s="219">
        <v>155802.57</v>
      </c>
    </row>
    <row r="30" spans="1:16" ht="23.25" customHeight="1">
      <c r="A30" s="99">
        <v>23</v>
      </c>
      <c r="B30" s="100" t="s">
        <v>74</v>
      </c>
      <c r="C30" s="186">
        <v>1801.36</v>
      </c>
      <c r="D30" s="186">
        <v>2074.96</v>
      </c>
      <c r="E30" s="186">
        <v>3283.41</v>
      </c>
      <c r="F30" s="186">
        <v>4011</v>
      </c>
      <c r="G30" s="217">
        <v>4740.76</v>
      </c>
      <c r="H30" s="217">
        <v>5379.37</v>
      </c>
      <c r="I30" s="217">
        <v>6728</v>
      </c>
      <c r="J30" s="158">
        <v>17723.27</v>
      </c>
      <c r="K30" s="212">
        <v>20848.28</v>
      </c>
      <c r="L30" s="158">
        <v>25291.58</v>
      </c>
      <c r="M30" s="158">
        <v>29367.94</v>
      </c>
      <c r="N30" s="153">
        <v>34660.239999999998</v>
      </c>
      <c r="O30" s="153">
        <v>38237.550000000003</v>
      </c>
      <c r="P30" s="153">
        <v>49394.37</v>
      </c>
    </row>
    <row r="31" spans="1:16" ht="23.25" customHeight="1">
      <c r="A31" s="99">
        <v>24</v>
      </c>
      <c r="B31" s="100" t="s">
        <v>36</v>
      </c>
      <c r="C31" s="186">
        <v>2432.59</v>
      </c>
      <c r="D31" s="186">
        <v>2829.83</v>
      </c>
      <c r="E31" s="186">
        <v>3357.42</v>
      </c>
      <c r="F31" s="186">
        <v>5309.32</v>
      </c>
      <c r="G31" s="217">
        <v>5657.2</v>
      </c>
      <c r="H31" s="217">
        <v>5966.28</v>
      </c>
      <c r="I31" s="217">
        <v>5168.41</v>
      </c>
      <c r="J31" s="158">
        <v>23060.86</v>
      </c>
      <c r="K31" s="158">
        <v>24568.99</v>
      </c>
      <c r="L31" s="158">
        <v>27407.94</v>
      </c>
      <c r="M31" s="158">
        <v>32897.18</v>
      </c>
      <c r="N31" s="153">
        <v>33045.32</v>
      </c>
      <c r="O31" s="153">
        <v>39457.94</v>
      </c>
      <c r="P31" s="153">
        <v>44412.46</v>
      </c>
    </row>
    <row r="32" spans="1:16" ht="23.25" customHeight="1">
      <c r="A32" s="99">
        <v>25</v>
      </c>
      <c r="B32" s="100" t="s">
        <v>37</v>
      </c>
      <c r="C32" s="186">
        <v>2564.1999999999998</v>
      </c>
      <c r="D32" s="186">
        <v>3322.11</v>
      </c>
      <c r="E32" s="186">
        <v>4886.8500000000004</v>
      </c>
      <c r="F32" s="186">
        <v>5150.6499999999996</v>
      </c>
      <c r="G32" s="217">
        <v>5919.79</v>
      </c>
      <c r="H32" s="217">
        <v>6857.69</v>
      </c>
      <c r="I32" s="217">
        <v>7851.35</v>
      </c>
      <c r="J32" s="158">
        <v>29127.65</v>
      </c>
      <c r="K32" s="158">
        <v>34295.599999999999</v>
      </c>
      <c r="L32" s="158">
        <v>40132.19</v>
      </c>
      <c r="M32" s="158">
        <v>44873.35</v>
      </c>
      <c r="N32" s="153">
        <v>53653.31</v>
      </c>
      <c r="O32" s="153">
        <v>63461.79</v>
      </c>
      <c r="P32" s="153">
        <v>76194.740000000005</v>
      </c>
    </row>
    <row r="33" spans="1:16" ht="23.25" customHeight="1">
      <c r="A33" s="99">
        <v>26</v>
      </c>
      <c r="B33" s="100" t="s">
        <v>38</v>
      </c>
      <c r="C33" s="158">
        <v>6017.03</v>
      </c>
      <c r="D33" s="158">
        <v>7734.56</v>
      </c>
      <c r="E33" s="158">
        <v>8384.89</v>
      </c>
      <c r="F33" s="158">
        <v>11768.11</v>
      </c>
      <c r="G33" s="153">
        <v>12596.57</v>
      </c>
      <c r="H33" s="153">
        <v>13734.87</v>
      </c>
      <c r="I33" s="219">
        <v>16617.79</v>
      </c>
      <c r="J33" s="158">
        <v>42975.01</v>
      </c>
      <c r="K33" s="158">
        <v>53590.26</v>
      </c>
      <c r="L33" s="158">
        <v>59375.35</v>
      </c>
      <c r="M33" s="158">
        <v>72916.31</v>
      </c>
      <c r="N33" s="153">
        <v>83838.039999999994</v>
      </c>
      <c r="O33" s="153">
        <v>98213.85</v>
      </c>
      <c r="P33" s="219">
        <v>117915.81000000001</v>
      </c>
    </row>
    <row r="34" spans="1:16" ht="23.25" customHeight="1">
      <c r="A34" s="99">
        <v>27</v>
      </c>
      <c r="B34" s="100" t="s">
        <v>39</v>
      </c>
      <c r="C34" s="186">
        <v>6136.24</v>
      </c>
      <c r="D34" s="186">
        <v>6926.28</v>
      </c>
      <c r="E34" s="186">
        <v>11074.43</v>
      </c>
      <c r="F34" s="186">
        <v>12617.84</v>
      </c>
      <c r="G34" s="217">
        <v>14127.06</v>
      </c>
      <c r="H34" s="217">
        <v>18924.59</v>
      </c>
      <c r="I34" s="216">
        <v>20859.39</v>
      </c>
      <c r="J34" s="158">
        <v>65223.21</v>
      </c>
      <c r="K34" s="158">
        <v>75968.89</v>
      </c>
      <c r="L34" s="158">
        <v>89373.61</v>
      </c>
      <c r="M34" s="158">
        <v>107675.61</v>
      </c>
      <c r="N34" s="153">
        <v>123885.17</v>
      </c>
      <c r="O34" s="153">
        <v>151141.63</v>
      </c>
      <c r="P34" s="219">
        <v>167892.21000000002</v>
      </c>
    </row>
    <row r="35" spans="1:16" ht="23.25" customHeight="1">
      <c r="A35" s="99">
        <v>28</v>
      </c>
      <c r="B35" s="100" t="s">
        <v>40</v>
      </c>
      <c r="C35" s="186">
        <v>3995.4</v>
      </c>
      <c r="D35" s="186">
        <v>4432.79</v>
      </c>
      <c r="E35" s="186">
        <v>6510.57</v>
      </c>
      <c r="F35" s="186">
        <v>8077.96</v>
      </c>
      <c r="G35" s="217">
        <v>10065.74</v>
      </c>
      <c r="H35" s="217">
        <v>11035.69</v>
      </c>
      <c r="I35" s="217">
        <v>10486.85</v>
      </c>
      <c r="J35" s="158">
        <v>38314.42</v>
      </c>
      <c r="K35" s="158">
        <v>51613.31</v>
      </c>
      <c r="L35" s="158">
        <v>58499.88</v>
      </c>
      <c r="M35" s="158">
        <v>64538.16</v>
      </c>
      <c r="N35" s="153">
        <v>73326.37</v>
      </c>
      <c r="O35" s="153">
        <v>82110.880000000005</v>
      </c>
      <c r="P35" s="153">
        <v>91891.77</v>
      </c>
    </row>
    <row r="36" spans="1:16" s="159" customFormat="1" ht="23.25" customHeight="1">
      <c r="A36" s="116"/>
      <c r="B36" s="116" t="s">
        <v>63</v>
      </c>
      <c r="C36" s="211">
        <f t="shared" ref="C36:I36" si="2">SUM(C19:C35)</f>
        <v>51564.17</v>
      </c>
      <c r="D36" s="211">
        <f t="shared" si="2"/>
        <v>60590.979999999996</v>
      </c>
      <c r="E36" s="211">
        <f t="shared" si="2"/>
        <v>76457.23000000001</v>
      </c>
      <c r="F36" s="211">
        <f t="shared" si="2"/>
        <v>99316.65</v>
      </c>
      <c r="G36" s="218">
        <f t="shared" si="2"/>
        <v>121237.21999999999</v>
      </c>
      <c r="H36" s="218">
        <f t="shared" si="2"/>
        <v>140322.85999999999</v>
      </c>
      <c r="I36" s="218">
        <f t="shared" si="2"/>
        <v>147589.44000000003</v>
      </c>
      <c r="J36" s="211">
        <f t="shared" ref="J36:P36" si="3">SUM(J19:J35)</f>
        <v>520459.95000000007</v>
      </c>
      <c r="K36" s="211">
        <f t="shared" si="3"/>
        <v>613624.35000000009</v>
      </c>
      <c r="L36" s="102">
        <f t="shared" si="3"/>
        <v>713950.23</v>
      </c>
      <c r="M36" s="102">
        <f t="shared" si="3"/>
        <v>835239.41999999993</v>
      </c>
      <c r="N36" s="157">
        <f t="shared" si="3"/>
        <v>967245.72</v>
      </c>
      <c r="O36" s="157">
        <f t="shared" si="3"/>
        <v>1120755.83</v>
      </c>
      <c r="P36" s="157">
        <f t="shared" si="3"/>
        <v>1327677.5099999998</v>
      </c>
    </row>
    <row r="37" spans="1:16" ht="23.25" customHeight="1">
      <c r="A37" s="100"/>
      <c r="B37" s="116" t="s">
        <v>53</v>
      </c>
      <c r="C37" s="186"/>
      <c r="D37" s="186"/>
      <c r="E37" s="186"/>
      <c r="F37" s="186"/>
      <c r="G37" s="217"/>
      <c r="H37" s="217"/>
      <c r="I37" s="217"/>
      <c r="J37" s="158"/>
      <c r="K37" s="158"/>
      <c r="L37" s="158"/>
      <c r="M37" s="158"/>
      <c r="N37" s="153"/>
      <c r="O37" s="153"/>
      <c r="P37" s="153"/>
    </row>
    <row r="38" spans="1:16" ht="23.25" customHeight="1">
      <c r="A38" s="99">
        <v>29</v>
      </c>
      <c r="B38" s="100" t="s">
        <v>43</v>
      </c>
      <c r="C38" s="186">
        <v>0</v>
      </c>
      <c r="D38" s="186">
        <v>0</v>
      </c>
      <c r="E38" s="186">
        <v>0</v>
      </c>
      <c r="F38" s="186">
        <v>0</v>
      </c>
      <c r="G38" s="217">
        <v>0</v>
      </c>
      <c r="H38" s="217">
        <v>0</v>
      </c>
      <c r="I38" s="217">
        <v>0</v>
      </c>
      <c r="J38" s="158">
        <v>9770.52</v>
      </c>
      <c r="K38" s="158">
        <v>11762.56</v>
      </c>
      <c r="L38" s="64">
        <v>13900.89</v>
      </c>
      <c r="M38" s="64">
        <v>14381.74</v>
      </c>
      <c r="N38" s="164">
        <v>17964.86</v>
      </c>
      <c r="O38" s="164">
        <v>20659.36</v>
      </c>
      <c r="P38" s="164">
        <v>24354.7</v>
      </c>
    </row>
    <row r="39" spans="1:16" ht="23.25" customHeight="1">
      <c r="A39" s="99">
        <v>30</v>
      </c>
      <c r="B39" s="100" t="s">
        <v>44</v>
      </c>
      <c r="C39" s="186">
        <v>121</v>
      </c>
      <c r="D39" s="186">
        <v>166</v>
      </c>
      <c r="E39" s="186">
        <v>289</v>
      </c>
      <c r="F39" s="186">
        <v>264</v>
      </c>
      <c r="G39" s="217">
        <v>296</v>
      </c>
      <c r="H39" s="217">
        <v>371.77</v>
      </c>
      <c r="I39" s="217">
        <v>420</v>
      </c>
      <c r="J39" s="158">
        <v>2232</v>
      </c>
      <c r="K39" s="209">
        <v>2570</v>
      </c>
      <c r="L39" s="194">
        <v>3083</v>
      </c>
      <c r="M39" s="194">
        <v>3540</v>
      </c>
      <c r="N39" s="181">
        <v>3222</v>
      </c>
      <c r="O39" s="164">
        <v>3041.14</v>
      </c>
      <c r="P39" s="164">
        <v>3365</v>
      </c>
    </row>
    <row r="40" spans="1:16" ht="23.25" customHeight="1">
      <c r="A40" s="100"/>
      <c r="B40" s="116" t="s">
        <v>64</v>
      </c>
      <c r="C40" s="211">
        <f t="shared" ref="C40:H40" si="4">SUM(C38:C39)</f>
        <v>121</v>
      </c>
      <c r="D40" s="211">
        <f t="shared" si="4"/>
        <v>166</v>
      </c>
      <c r="E40" s="211">
        <f t="shared" si="4"/>
        <v>289</v>
      </c>
      <c r="F40" s="211">
        <f t="shared" si="4"/>
        <v>264</v>
      </c>
      <c r="G40" s="218">
        <f t="shared" si="4"/>
        <v>296</v>
      </c>
      <c r="H40" s="218">
        <f t="shared" si="4"/>
        <v>371.77</v>
      </c>
      <c r="I40" s="218">
        <f t="shared" ref="I40:P40" si="5">SUM(I38:I39)</f>
        <v>420</v>
      </c>
      <c r="J40" s="211">
        <f t="shared" si="5"/>
        <v>12002.52</v>
      </c>
      <c r="K40" s="211">
        <f t="shared" si="5"/>
        <v>14332.56</v>
      </c>
      <c r="L40" s="102">
        <f t="shared" si="5"/>
        <v>16983.89</v>
      </c>
      <c r="M40" s="102">
        <f t="shared" si="5"/>
        <v>17921.739999999998</v>
      </c>
      <c r="N40" s="157">
        <f t="shared" si="5"/>
        <v>21186.86</v>
      </c>
      <c r="O40" s="157">
        <f t="shared" si="5"/>
        <v>23700.5</v>
      </c>
      <c r="P40" s="157">
        <f t="shared" si="5"/>
        <v>27719.7</v>
      </c>
    </row>
    <row r="41" spans="1:16" ht="23.25" customHeight="1">
      <c r="A41" s="100"/>
      <c r="B41" s="100"/>
      <c r="C41" s="186"/>
      <c r="D41" s="186"/>
      <c r="E41" s="186"/>
      <c r="F41" s="186"/>
      <c r="G41" s="217"/>
      <c r="H41" s="217"/>
      <c r="I41" s="217"/>
      <c r="J41" s="186"/>
      <c r="K41" s="186"/>
      <c r="L41" s="158"/>
      <c r="M41" s="158"/>
      <c r="N41" s="153"/>
      <c r="O41" s="153"/>
      <c r="P41" s="153"/>
    </row>
    <row r="42" spans="1:16" s="159" customFormat="1" ht="23.25" customHeight="1">
      <c r="A42" s="116"/>
      <c r="B42" s="116" t="s">
        <v>65</v>
      </c>
      <c r="C42" s="211">
        <f t="shared" ref="C42:H42" si="6">+C17+C36+C40</f>
        <v>56934.22</v>
      </c>
      <c r="D42" s="211">
        <f t="shared" si="6"/>
        <v>66784.819999999992</v>
      </c>
      <c r="E42" s="211">
        <f t="shared" si="6"/>
        <v>84292.35</v>
      </c>
      <c r="F42" s="211">
        <f t="shared" si="6"/>
        <v>110528.42</v>
      </c>
      <c r="G42" s="218">
        <f t="shared" si="6"/>
        <v>131421.81999999998</v>
      </c>
      <c r="H42" s="218">
        <f t="shared" si="6"/>
        <v>151869.26999999999</v>
      </c>
      <c r="I42" s="218">
        <f t="shared" ref="I42:P42" si="7">+I17+I36+I40</f>
        <v>164176.50000000003</v>
      </c>
      <c r="J42" s="211">
        <f t="shared" si="7"/>
        <v>588218.92000000004</v>
      </c>
      <c r="K42" s="211">
        <f t="shared" si="7"/>
        <v>689984.03000000014</v>
      </c>
      <c r="L42" s="102">
        <f t="shared" si="7"/>
        <v>807647.59</v>
      </c>
      <c r="M42" s="102">
        <f t="shared" si="7"/>
        <v>949832.85999999987</v>
      </c>
      <c r="N42" s="157">
        <f t="shared" si="7"/>
        <v>1095344.47</v>
      </c>
      <c r="O42" s="157">
        <f t="shared" si="7"/>
        <v>1263707.8700000001</v>
      </c>
      <c r="P42" s="157">
        <f t="shared" si="7"/>
        <v>1493912.4099999997</v>
      </c>
    </row>
    <row r="44" spans="1:16">
      <c r="B44" s="159" t="s">
        <v>114</v>
      </c>
    </row>
  </sheetData>
  <mergeCells count="5">
    <mergeCell ref="A1:O1"/>
    <mergeCell ref="B2:B3"/>
    <mergeCell ref="A2:A3"/>
    <mergeCell ref="C2:I2"/>
    <mergeCell ref="J2:P2"/>
  </mergeCells>
  <phoneticPr fontId="42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73" orientation="landscape" verticalDpi="0" r:id="rId1"/>
  <headerFooter alignWithMargins="0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I9"/>
  <sheetViews>
    <sheetView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G17" sqref="G17"/>
    </sheetView>
  </sheetViews>
  <sheetFormatPr defaultRowHeight="15"/>
  <cols>
    <col min="1" max="1" width="5.42578125" style="199" customWidth="1"/>
    <col min="2" max="2" width="36.140625" style="197" customWidth="1"/>
    <col min="3" max="9" width="15.5703125" style="197" customWidth="1"/>
    <col min="10" max="16384" width="9.140625" style="197"/>
  </cols>
  <sheetData>
    <row r="1" spans="1:9">
      <c r="H1" s="689" t="s">
        <v>84</v>
      </c>
      <c r="I1" s="689"/>
    </row>
    <row r="2" spans="1:9" ht="39.75" customHeight="1">
      <c r="A2" s="686" t="s">
        <v>47</v>
      </c>
      <c r="B2" s="687" t="s">
        <v>86</v>
      </c>
      <c r="C2" s="688" t="s">
        <v>181</v>
      </c>
      <c r="D2" s="688"/>
      <c r="E2" s="688"/>
      <c r="F2" s="688"/>
      <c r="G2" s="688"/>
      <c r="H2" s="688"/>
      <c r="I2" s="688"/>
    </row>
    <row r="3" spans="1:9" ht="37.5" customHeight="1">
      <c r="A3" s="686"/>
      <c r="B3" s="687"/>
      <c r="C3" s="198" t="s">
        <v>59</v>
      </c>
      <c r="D3" s="198" t="s">
        <v>60</v>
      </c>
      <c r="E3" s="198" t="s">
        <v>61</v>
      </c>
      <c r="F3" s="198" t="s">
        <v>124</v>
      </c>
      <c r="G3" s="198" t="s">
        <v>173</v>
      </c>
      <c r="H3" s="198" t="s">
        <v>172</v>
      </c>
      <c r="I3" s="198" t="s">
        <v>153</v>
      </c>
    </row>
    <row r="4" spans="1:9" s="203" customFormat="1" ht="33.75" customHeight="1">
      <c r="A4" s="200">
        <v>1</v>
      </c>
      <c r="B4" s="201" t="s">
        <v>88</v>
      </c>
      <c r="C4" s="202">
        <v>56934.22</v>
      </c>
      <c r="D4" s="202">
        <v>66784.819999999992</v>
      </c>
      <c r="E4" s="202">
        <v>84292.35</v>
      </c>
      <c r="F4" s="202">
        <v>110528.42</v>
      </c>
      <c r="G4" s="202">
        <v>131421.81999999998</v>
      </c>
      <c r="H4" s="202">
        <v>151869.26999999999</v>
      </c>
      <c r="I4" s="202">
        <v>102761.97000000002</v>
      </c>
    </row>
    <row r="5" spans="1:9" s="204" customFormat="1" ht="33.75" customHeight="1">
      <c r="A5" s="200">
        <v>2</v>
      </c>
      <c r="B5" s="201" t="s">
        <v>174</v>
      </c>
      <c r="C5" s="202">
        <v>102465.43</v>
      </c>
      <c r="D5" s="202">
        <v>105377.81999999999</v>
      </c>
      <c r="E5" s="202">
        <v>115770.87999999999</v>
      </c>
      <c r="F5" s="202">
        <v>127833.54000000001</v>
      </c>
      <c r="G5" s="202">
        <v>138266.65</v>
      </c>
      <c r="H5" s="202">
        <v>153313.24000000002</v>
      </c>
      <c r="I5" s="202">
        <v>105508.51</v>
      </c>
    </row>
    <row r="6" spans="1:9" s="204" customFormat="1" ht="33.75" customHeight="1">
      <c r="A6" s="200">
        <v>3</v>
      </c>
      <c r="B6" s="201" t="s">
        <v>175</v>
      </c>
      <c r="C6" s="202">
        <f>+C7+C8</f>
        <v>727532.00000000012</v>
      </c>
      <c r="D6" s="202">
        <f t="shared" ref="D6:I6" si="0">+D7+D8</f>
        <v>857173.83</v>
      </c>
      <c r="E6" s="202">
        <f t="shared" si="0"/>
        <v>985722.17000000016</v>
      </c>
      <c r="F6" s="202">
        <f t="shared" si="0"/>
        <v>1132810.42</v>
      </c>
      <c r="G6" s="202">
        <f t="shared" si="0"/>
        <v>1318530.2199999997</v>
      </c>
      <c r="H6" s="202">
        <f t="shared" si="0"/>
        <v>1516566.7000000002</v>
      </c>
      <c r="I6" s="202">
        <f t="shared" si="0"/>
        <v>1103899.03</v>
      </c>
    </row>
    <row r="7" spans="1:9" s="204" customFormat="1" ht="33.75" customHeight="1">
      <c r="A7" s="200" t="s">
        <v>178</v>
      </c>
      <c r="B7" s="201" t="s">
        <v>176</v>
      </c>
      <c r="C7" s="202">
        <v>236194.28000000006</v>
      </c>
      <c r="D7" s="202">
        <v>292212.82999999996</v>
      </c>
      <c r="E7" s="202">
        <v>320048.19</v>
      </c>
      <c r="F7" s="202">
        <v>367580.94</v>
      </c>
      <c r="G7" s="202">
        <v>433158.98</v>
      </c>
      <c r="H7" s="202">
        <v>519750.7</v>
      </c>
      <c r="I7" s="202">
        <v>406222.43000000005</v>
      </c>
    </row>
    <row r="8" spans="1:9" s="204" customFormat="1" ht="33.75" customHeight="1">
      <c r="A8" s="200" t="s">
        <v>179</v>
      </c>
      <c r="B8" s="201" t="s">
        <v>177</v>
      </c>
      <c r="C8" s="202">
        <v>491337.72000000009</v>
      </c>
      <c r="D8" s="202">
        <v>564961</v>
      </c>
      <c r="E8" s="202">
        <v>665673.9800000001</v>
      </c>
      <c r="F8" s="202">
        <v>765229.48</v>
      </c>
      <c r="G8" s="202">
        <v>885371.23999999987</v>
      </c>
      <c r="H8" s="202">
        <v>996816.00000000023</v>
      </c>
      <c r="I8" s="202">
        <v>697676.6</v>
      </c>
    </row>
    <row r="9" spans="1:9" s="203" customFormat="1" ht="33.75" customHeight="1">
      <c r="A9" s="205"/>
      <c r="B9" s="206" t="s">
        <v>180</v>
      </c>
      <c r="C9" s="207">
        <f>+C4+C5+C6</f>
        <v>886931.65000000014</v>
      </c>
      <c r="D9" s="207">
        <f t="shared" ref="D9:I9" si="1">+D4+D5+D6</f>
        <v>1029336.47</v>
      </c>
      <c r="E9" s="207">
        <f t="shared" si="1"/>
        <v>1185785.4000000001</v>
      </c>
      <c r="F9" s="207">
        <f t="shared" si="1"/>
        <v>1371172.38</v>
      </c>
      <c r="G9" s="207">
        <f t="shared" si="1"/>
        <v>1588218.6899999997</v>
      </c>
      <c r="H9" s="207">
        <f t="shared" si="1"/>
        <v>1821749.2100000002</v>
      </c>
      <c r="I9" s="207">
        <f t="shared" si="1"/>
        <v>1312169.51</v>
      </c>
    </row>
  </sheetData>
  <mergeCells count="4">
    <mergeCell ref="A2:A3"/>
    <mergeCell ref="B2:B3"/>
    <mergeCell ref="C2:I2"/>
    <mergeCell ref="H1:I1"/>
  </mergeCells>
  <phoneticPr fontId="42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X47"/>
  <sheetViews>
    <sheetView view="pageBreakPreview" zoomScaleNormal="100" workbookViewId="0">
      <pane xSplit="2" ySplit="4" topLeftCell="C5" activePane="bottomRight" state="frozen"/>
      <selection activeCell="J4" sqref="J4:P5"/>
      <selection pane="topRight" activeCell="J4" sqref="J4:P5"/>
      <selection pane="bottomLeft" activeCell="J4" sqref="J4:P5"/>
      <selection pane="bottomRight" activeCell="A2" sqref="A2:A3"/>
    </sheetView>
  </sheetViews>
  <sheetFormatPr defaultRowHeight="15"/>
  <cols>
    <col min="1" max="1" width="5.28515625" style="359" customWidth="1"/>
    <col min="2" max="2" width="31.7109375" style="344" customWidth="1"/>
    <col min="3" max="3" width="13.7109375" style="344" hidden="1" customWidth="1"/>
    <col min="4" max="24" width="12" style="344" customWidth="1"/>
    <col min="25" max="16384" width="9.140625" style="344"/>
  </cols>
  <sheetData>
    <row r="1" spans="1:24" ht="27" customHeight="1">
      <c r="A1" s="533" t="s">
        <v>315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</row>
    <row r="2" spans="1:24" s="346" customFormat="1" ht="30.75" customHeight="1">
      <c r="A2" s="524" t="s">
        <v>71</v>
      </c>
      <c r="B2" s="537" t="s">
        <v>85</v>
      </c>
      <c r="C2" s="345" t="s">
        <v>237</v>
      </c>
      <c r="D2" s="529" t="s">
        <v>238</v>
      </c>
      <c r="E2" s="530"/>
      <c r="F2" s="530"/>
      <c r="G2" s="530"/>
      <c r="H2" s="530"/>
      <c r="I2" s="530"/>
      <c r="J2" s="531"/>
      <c r="K2" s="529" t="s">
        <v>239</v>
      </c>
      <c r="L2" s="530"/>
      <c r="M2" s="530"/>
      <c r="N2" s="530"/>
      <c r="O2" s="530"/>
      <c r="P2" s="530"/>
      <c r="Q2" s="531"/>
      <c r="R2" s="538" t="s">
        <v>240</v>
      </c>
      <c r="S2" s="538"/>
      <c r="T2" s="538"/>
      <c r="U2" s="538"/>
      <c r="V2" s="538"/>
      <c r="W2" s="538"/>
      <c r="X2" s="538"/>
    </row>
    <row r="3" spans="1:24" s="348" customFormat="1" ht="18.75" customHeight="1">
      <c r="A3" s="524"/>
      <c r="B3" s="537"/>
      <c r="C3" s="345" t="s">
        <v>241</v>
      </c>
      <c r="D3" s="347" t="s">
        <v>48</v>
      </c>
      <c r="E3" s="347" t="s">
        <v>49</v>
      </c>
      <c r="F3" s="347" t="s">
        <v>5</v>
      </c>
      <c r="G3" s="347" t="s">
        <v>6</v>
      </c>
      <c r="H3" s="347" t="s">
        <v>7</v>
      </c>
      <c r="I3" s="347" t="s">
        <v>122</v>
      </c>
      <c r="J3" s="347" t="s">
        <v>139</v>
      </c>
      <c r="K3" s="347" t="s">
        <v>48</v>
      </c>
      <c r="L3" s="347" t="s">
        <v>49</v>
      </c>
      <c r="M3" s="347" t="s">
        <v>5</v>
      </c>
      <c r="N3" s="347" t="s">
        <v>6</v>
      </c>
      <c r="O3" s="347" t="s">
        <v>7</v>
      </c>
      <c r="P3" s="347" t="s">
        <v>122</v>
      </c>
      <c r="Q3" s="347" t="s">
        <v>139</v>
      </c>
      <c r="R3" s="347" t="s">
        <v>48</v>
      </c>
      <c r="S3" s="347" t="s">
        <v>49</v>
      </c>
      <c r="T3" s="347" t="s">
        <v>5</v>
      </c>
      <c r="U3" s="347" t="s">
        <v>6</v>
      </c>
      <c r="V3" s="347" t="s">
        <v>7</v>
      </c>
      <c r="W3" s="347" t="s">
        <v>122</v>
      </c>
      <c r="X3" s="347" t="s">
        <v>139</v>
      </c>
    </row>
    <row r="4" spans="1:24" s="348" customFormat="1" ht="24">
      <c r="A4" s="349"/>
      <c r="B4" s="362">
        <v>41834</v>
      </c>
      <c r="C4" s="345" t="s">
        <v>242</v>
      </c>
      <c r="D4" s="345" t="s">
        <v>8</v>
      </c>
      <c r="E4" s="345" t="s">
        <v>8</v>
      </c>
      <c r="F4" s="345" t="s">
        <v>8</v>
      </c>
      <c r="G4" s="345" t="s">
        <v>8</v>
      </c>
      <c r="H4" s="345" t="s">
        <v>8</v>
      </c>
      <c r="I4" s="345" t="s">
        <v>224</v>
      </c>
      <c r="J4" s="345" t="s">
        <v>225</v>
      </c>
      <c r="K4" s="345"/>
      <c r="L4" s="345"/>
      <c r="M4" s="345"/>
      <c r="N4" s="345"/>
      <c r="O4" s="345"/>
      <c r="P4" s="345"/>
      <c r="Q4" s="345"/>
      <c r="R4" s="345" t="s">
        <v>8</v>
      </c>
      <c r="S4" s="345" t="s">
        <v>8</v>
      </c>
      <c r="T4" s="345" t="s">
        <v>8</v>
      </c>
      <c r="U4" s="345" t="s">
        <v>8</v>
      </c>
      <c r="V4" s="345" t="s">
        <v>8</v>
      </c>
      <c r="W4" s="345" t="s">
        <v>224</v>
      </c>
      <c r="X4" s="345" t="s">
        <v>225</v>
      </c>
    </row>
    <row r="5" spans="1:24" ht="15.75">
      <c r="A5" s="350" t="s">
        <v>226</v>
      </c>
      <c r="B5" s="351" t="s">
        <v>227</v>
      </c>
      <c r="C5" s="351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63"/>
      <c r="S5" s="363"/>
      <c r="T5" s="363"/>
      <c r="U5" s="363"/>
      <c r="V5" s="363"/>
      <c r="W5" s="363"/>
      <c r="X5" s="363"/>
    </row>
    <row r="6" spans="1:24" ht="15.75">
      <c r="A6" s="353">
        <v>1</v>
      </c>
      <c r="B6" s="354" t="s">
        <v>12</v>
      </c>
      <c r="C6" s="354">
        <v>7901</v>
      </c>
      <c r="D6" s="352">
        <f ca="1">+'Aggregate Resources'!C7</f>
        <v>1470.0500000000002</v>
      </c>
      <c r="E6" s="352">
        <f ca="1">+'Aggregate Resources'!D7</f>
        <v>2099.54</v>
      </c>
      <c r="F6" s="352">
        <f ca="1">+'Aggregate Resources'!E7</f>
        <v>2119.0700000000002</v>
      </c>
      <c r="G6" s="352">
        <f ca="1">+'Aggregate Resources'!F7</f>
        <v>2035.57</v>
      </c>
      <c r="H6" s="352">
        <f ca="1">+'Aggregate Resources'!G7</f>
        <v>1950.57</v>
      </c>
      <c r="I6" s="352">
        <f ca="1">+'Aggregate Resources'!H7</f>
        <v>2876.1499999999996</v>
      </c>
      <c r="J6" s="352">
        <f ca="1">+'Aggregate Resources'!I7</f>
        <v>3700</v>
      </c>
      <c r="K6" s="352">
        <v>4810</v>
      </c>
      <c r="L6" s="352">
        <v>5687</v>
      </c>
      <c r="M6" s="352">
        <v>7474</v>
      </c>
      <c r="N6" s="352">
        <v>9013</v>
      </c>
      <c r="O6" s="352">
        <v>10619</v>
      </c>
      <c r="P6" s="364">
        <v>12091</v>
      </c>
      <c r="Q6" s="365">
        <v>13382</v>
      </c>
      <c r="R6" s="363">
        <f t="shared" ref="R6:R17" si="0">D6/K6*100</f>
        <v>30.562370062370064</v>
      </c>
      <c r="S6" s="363">
        <f t="shared" ref="S6:S17" si="1">E6/L6*100</f>
        <v>36.918234570072094</v>
      </c>
      <c r="T6" s="363">
        <f t="shared" ref="T6:T17" si="2">F6/M6*100</f>
        <v>28.352555525822854</v>
      </c>
      <c r="U6" s="363">
        <f t="shared" ref="U6:U17" si="3">G6/N6*100</f>
        <v>22.584821923887716</v>
      </c>
      <c r="V6" s="363">
        <f t="shared" ref="V6:V17" si="4">H6/O6*100</f>
        <v>18.368678783312927</v>
      </c>
      <c r="W6" s="363">
        <f t="shared" ref="W6:W17" si="5">I6/P6*100</f>
        <v>23.787527913323959</v>
      </c>
      <c r="X6" s="363">
        <f t="shared" ref="X6:X17" si="6">J6/Q6*100</f>
        <v>27.649080854879688</v>
      </c>
    </row>
    <row r="7" spans="1:24" ht="15.75">
      <c r="A7" s="353">
        <v>2</v>
      </c>
      <c r="B7" s="354" t="s">
        <v>13</v>
      </c>
      <c r="C7" s="354">
        <v>23954</v>
      </c>
      <c r="D7" s="352">
        <f ca="1">+'Aggregate Resources'!C8</f>
        <v>4489.7699999999977</v>
      </c>
      <c r="E7" s="352">
        <f ca="1">+'Aggregate Resources'!D8</f>
        <v>7063.3</v>
      </c>
      <c r="F7" s="352">
        <f ca="1">+'Aggregate Resources'!E8</f>
        <v>6257.7899999999981</v>
      </c>
      <c r="G7" s="352">
        <f ca="1">+'Aggregate Resources'!F8</f>
        <v>7645.0000000000018</v>
      </c>
      <c r="H7" s="352">
        <f ca="1">+'Aggregate Resources'!G8</f>
        <v>8966.4699999999993</v>
      </c>
      <c r="I7" s="352">
        <f ca="1">+'Aggregate Resources'!H8</f>
        <v>10500</v>
      </c>
      <c r="J7" s="352">
        <f ca="1">+'Aggregate Resources'!I8</f>
        <v>12500</v>
      </c>
      <c r="K7" s="352">
        <v>71076</v>
      </c>
      <c r="L7" s="352">
        <v>81074</v>
      </c>
      <c r="M7" s="352">
        <v>95975</v>
      </c>
      <c r="N7" s="352">
        <v>112688</v>
      </c>
      <c r="O7" s="352">
        <v>125820</v>
      </c>
      <c r="P7" s="364">
        <v>141621</v>
      </c>
      <c r="Q7" s="365">
        <v>162652</v>
      </c>
      <c r="R7" s="363">
        <f t="shared" si="0"/>
        <v>6.3168580111429993</v>
      </c>
      <c r="S7" s="363">
        <f t="shared" si="1"/>
        <v>8.7121641956730898</v>
      </c>
      <c r="T7" s="363">
        <f t="shared" si="2"/>
        <v>6.52022922636103</v>
      </c>
      <c r="U7" s="363">
        <f t="shared" si="3"/>
        <v>6.7842183728524796</v>
      </c>
      <c r="V7" s="363">
        <f t="shared" si="4"/>
        <v>7.1264266412335076</v>
      </c>
      <c r="W7" s="363">
        <f t="shared" si="5"/>
        <v>7.4141546804499328</v>
      </c>
      <c r="X7" s="363">
        <f t="shared" si="6"/>
        <v>7.685119150087302</v>
      </c>
    </row>
    <row r="8" spans="1:24" ht="15.75">
      <c r="A8" s="353">
        <v>3</v>
      </c>
      <c r="B8" s="354" t="s">
        <v>14</v>
      </c>
      <c r="C8" s="354">
        <v>13778</v>
      </c>
      <c r="D8" s="352">
        <f ca="1">+'Aggregate Resources'!C9</f>
        <v>2764.6800000000003</v>
      </c>
      <c r="E8" s="352">
        <f ca="1">+'Aggregate Resources'!D9</f>
        <v>1979.6299999999999</v>
      </c>
      <c r="F8" s="352">
        <f ca="1">+'Aggregate Resources'!E9</f>
        <v>2227.7999999999997</v>
      </c>
      <c r="G8" s="352">
        <f ca="1">+'Aggregate Resources'!F9</f>
        <v>3037.2200000000003</v>
      </c>
      <c r="H8" s="352">
        <f ca="1">+'Aggregate Resources'!G9</f>
        <v>3277.28</v>
      </c>
      <c r="I8" s="352">
        <f ca="1">+'Aggregate Resources'!H9</f>
        <v>4032.1499999999996</v>
      </c>
      <c r="J8" s="352">
        <f ca="1">+'Aggregate Resources'!I9</f>
        <v>4100.0000000000009</v>
      </c>
      <c r="K8" s="352">
        <v>33963</v>
      </c>
      <c r="L8" s="352">
        <v>41483</v>
      </c>
      <c r="M8" s="352">
        <v>48189</v>
      </c>
      <c r="N8" s="352">
        <v>57452</v>
      </c>
      <c r="O8" s="352">
        <v>64957</v>
      </c>
      <c r="P8" s="364">
        <v>73710</v>
      </c>
      <c r="Q8" s="365">
        <v>82585</v>
      </c>
      <c r="R8" s="363">
        <f t="shared" si="0"/>
        <v>8.1402702941436278</v>
      </c>
      <c r="S8" s="363">
        <f t="shared" si="1"/>
        <v>4.772147626738664</v>
      </c>
      <c r="T8" s="363">
        <f t="shared" si="2"/>
        <v>4.6230467534084534</v>
      </c>
      <c r="U8" s="363">
        <f t="shared" si="3"/>
        <v>5.2865348464805413</v>
      </c>
      <c r="V8" s="363">
        <f t="shared" si="4"/>
        <v>5.0453068953307572</v>
      </c>
      <c r="W8" s="363">
        <f t="shared" si="5"/>
        <v>5.4702889702889692</v>
      </c>
      <c r="X8" s="363">
        <f t="shared" si="6"/>
        <v>4.9645819458739489</v>
      </c>
    </row>
    <row r="9" spans="1:24" ht="15.75">
      <c r="A9" s="353">
        <v>4</v>
      </c>
      <c r="B9" s="354" t="s">
        <v>228</v>
      </c>
      <c r="C9" s="354">
        <v>25834</v>
      </c>
      <c r="D9" s="352">
        <f ca="1">+'Aggregate Resources'!C10</f>
        <v>4164.4499999999989</v>
      </c>
      <c r="E9" s="352">
        <f ca="1">+'Aggregate Resources'!D10</f>
        <v>5006.1499999999996</v>
      </c>
      <c r="F9" s="352">
        <f ca="1">+'Aggregate Resources'!E10</f>
        <v>6688.4100000000008</v>
      </c>
      <c r="G9" s="352">
        <f ca="1">+'Aggregate Resources'!F10</f>
        <v>5768.0499999999993</v>
      </c>
      <c r="H9" s="352">
        <f ca="1">+'Aggregate Resources'!G10</f>
        <v>6608.06</v>
      </c>
      <c r="I9" s="352">
        <f ca="1">+'Aggregate Resources'!H10</f>
        <v>6860.9600000000009</v>
      </c>
      <c r="J9" s="352">
        <f ca="1">+'Aggregate Resources'!I10</f>
        <v>7300</v>
      </c>
      <c r="K9" s="352">
        <v>37099</v>
      </c>
      <c r="L9" s="352">
        <v>42315</v>
      </c>
      <c r="M9" s="352">
        <v>48385</v>
      </c>
      <c r="N9" s="352">
        <v>58073</v>
      </c>
      <c r="O9" s="352">
        <v>65759</v>
      </c>
      <c r="P9" s="364">
        <v>75574</v>
      </c>
      <c r="Q9" s="365">
        <v>87319</v>
      </c>
      <c r="R9" s="363">
        <f t="shared" si="0"/>
        <v>11.225235181541278</v>
      </c>
      <c r="S9" s="363">
        <f t="shared" si="1"/>
        <v>11.830674701642442</v>
      </c>
      <c r="T9" s="363">
        <f t="shared" si="2"/>
        <v>13.823313010230445</v>
      </c>
      <c r="U9" s="363">
        <f t="shared" si="3"/>
        <v>9.9324126530401369</v>
      </c>
      <c r="V9" s="363">
        <f t="shared" si="4"/>
        <v>10.048905853191199</v>
      </c>
      <c r="W9" s="363">
        <f t="shared" si="5"/>
        <v>9.0784661391483858</v>
      </c>
      <c r="X9" s="363">
        <f t="shared" si="6"/>
        <v>8.3601507117580365</v>
      </c>
    </row>
    <row r="10" spans="1:24" ht="15.75">
      <c r="A10" s="353">
        <v>5</v>
      </c>
      <c r="B10" s="354" t="s">
        <v>16</v>
      </c>
      <c r="C10" s="354">
        <v>8154</v>
      </c>
      <c r="D10" s="352">
        <f ca="1">+'Aggregate Resources'!C11</f>
        <v>1303.8399999999997</v>
      </c>
      <c r="E10" s="352">
        <f ca="1">+'Aggregate Resources'!D11</f>
        <v>1602.1100000000026</v>
      </c>
      <c r="F10" s="352">
        <f ca="1">+'Aggregate Resources'!E11</f>
        <v>1853.260000000002</v>
      </c>
      <c r="G10" s="352">
        <f ca="1">+'Aggregate Resources'!F11</f>
        <v>2834.4699999999993</v>
      </c>
      <c r="H10" s="352">
        <f ca="1">+'Aggregate Resources'!G11</f>
        <v>1627.37</v>
      </c>
      <c r="I10" s="352">
        <f ca="1">+'Aggregate Resources'!H11</f>
        <v>2421.56</v>
      </c>
      <c r="J10" s="352">
        <f ca="1">+'Aggregate Resources'!I11</f>
        <v>3649.9999999999995</v>
      </c>
      <c r="K10" s="364">
        <v>6783</v>
      </c>
      <c r="L10" s="364">
        <v>7399</v>
      </c>
      <c r="M10" s="364">
        <v>8254</v>
      </c>
      <c r="N10" s="364">
        <v>9137</v>
      </c>
      <c r="O10" s="364">
        <v>10504</v>
      </c>
      <c r="P10" s="364">
        <v>11983</v>
      </c>
      <c r="Q10" s="365">
        <f>+LOGEST(K10:P10)*P10</f>
        <v>13433.125480627126</v>
      </c>
      <c r="R10" s="363">
        <f t="shared" si="0"/>
        <v>19.222173079758214</v>
      </c>
      <c r="S10" s="363">
        <f t="shared" si="1"/>
        <v>21.653061224489832</v>
      </c>
      <c r="T10" s="363">
        <f t="shared" si="2"/>
        <v>22.452871335110274</v>
      </c>
      <c r="U10" s="363">
        <f t="shared" si="3"/>
        <v>31.021889022655131</v>
      </c>
      <c r="V10" s="363">
        <f t="shared" si="4"/>
        <v>15.492859862909366</v>
      </c>
      <c r="W10" s="363">
        <f t="shared" si="5"/>
        <v>20.20829508470333</v>
      </c>
      <c r="X10" s="363">
        <f t="shared" si="6"/>
        <v>27.171636305072312</v>
      </c>
    </row>
    <row r="11" spans="1:24" ht="15.75">
      <c r="A11" s="353">
        <v>6</v>
      </c>
      <c r="B11" s="354" t="s">
        <v>17</v>
      </c>
      <c r="C11" s="354">
        <v>9185</v>
      </c>
      <c r="D11" s="352">
        <f ca="1">+'Aggregate Resources'!C12</f>
        <v>860.77</v>
      </c>
      <c r="E11" s="352">
        <f ca="1">+'Aggregate Resources'!D12</f>
        <v>1289.18</v>
      </c>
      <c r="F11" s="352">
        <f ca="1">+'Aggregate Resources'!E12</f>
        <v>1116.78</v>
      </c>
      <c r="G11" s="352">
        <f ca="1">+'Aggregate Resources'!F12</f>
        <v>1194.73</v>
      </c>
      <c r="H11" s="352">
        <f ca="1">+'Aggregate Resources'!G12</f>
        <v>3095.51</v>
      </c>
      <c r="I11" s="352">
        <f ca="1">+'Aggregate Resources'!H12</f>
        <v>3077.15</v>
      </c>
      <c r="J11" s="352">
        <f ca="1">+'Aggregate Resources'!I12</f>
        <v>4151</v>
      </c>
      <c r="K11" s="364">
        <v>9735</v>
      </c>
      <c r="L11" s="364">
        <v>11617</v>
      </c>
      <c r="M11" s="364">
        <v>12709</v>
      </c>
      <c r="N11" s="364">
        <v>14583</v>
      </c>
      <c r="O11" s="364">
        <v>16412</v>
      </c>
      <c r="P11" s="364">
        <v>18135</v>
      </c>
      <c r="Q11" s="365">
        <v>20808</v>
      </c>
      <c r="R11" s="363">
        <f t="shared" si="0"/>
        <v>8.8420133538777606</v>
      </c>
      <c r="S11" s="363">
        <f t="shared" si="1"/>
        <v>11.097357321167255</v>
      </c>
      <c r="T11" s="363">
        <f t="shared" si="2"/>
        <v>8.7873160752222823</v>
      </c>
      <c r="U11" s="363">
        <f t="shared" si="3"/>
        <v>8.192621545635328</v>
      </c>
      <c r="V11" s="363">
        <f t="shared" si="4"/>
        <v>18.861260053619304</v>
      </c>
      <c r="W11" s="363">
        <f t="shared" si="5"/>
        <v>16.968017645437001</v>
      </c>
      <c r="X11" s="363">
        <f t="shared" si="6"/>
        <v>19.949058054594389</v>
      </c>
    </row>
    <row r="12" spans="1:24" ht="15.75">
      <c r="A12" s="353">
        <v>7</v>
      </c>
      <c r="B12" s="354" t="s">
        <v>18</v>
      </c>
      <c r="C12" s="354">
        <v>5534</v>
      </c>
      <c r="D12" s="352">
        <f ca="1">+'Aggregate Resources'!C13</f>
        <v>1042.17</v>
      </c>
      <c r="E12" s="352">
        <f ca="1">+'Aggregate Resources'!D13</f>
        <v>849.63999999999987</v>
      </c>
      <c r="F12" s="352">
        <f ca="1">+'Aggregate Resources'!E13</f>
        <v>932.12</v>
      </c>
      <c r="G12" s="352">
        <f ca="1">+'Aggregate Resources'!F13</f>
        <v>1264.26</v>
      </c>
      <c r="H12" s="352">
        <f ca="1">+'Aggregate Resources'!G13</f>
        <v>1550.11</v>
      </c>
      <c r="I12" s="352">
        <f ca="1">+'Aggregate Resources'!H13</f>
        <v>2317.7199999999998</v>
      </c>
      <c r="J12" s="352">
        <f ca="1">+'Aggregate Resources'!I13</f>
        <v>2500</v>
      </c>
      <c r="K12" s="364">
        <v>3816</v>
      </c>
      <c r="L12" s="364">
        <v>4577</v>
      </c>
      <c r="M12" s="364">
        <v>5260</v>
      </c>
      <c r="N12" s="364">
        <v>6388</v>
      </c>
      <c r="O12" s="364">
        <v>7198</v>
      </c>
      <c r="P12" s="364">
        <v>8053</v>
      </c>
      <c r="Q12" s="365">
        <f>+LOGEST(K12:P12)*P12</f>
        <v>9366.0879379254438</v>
      </c>
      <c r="R12" s="363">
        <f t="shared" si="0"/>
        <v>27.310534591194969</v>
      </c>
      <c r="S12" s="363">
        <f t="shared" si="1"/>
        <v>18.563251037797681</v>
      </c>
      <c r="T12" s="363">
        <f t="shared" si="2"/>
        <v>17.720912547528517</v>
      </c>
      <c r="U12" s="363">
        <f t="shared" si="3"/>
        <v>19.791170945522854</v>
      </c>
      <c r="V12" s="363">
        <f t="shared" si="4"/>
        <v>21.535287579883299</v>
      </c>
      <c r="W12" s="363">
        <f t="shared" si="5"/>
        <v>28.780827020985967</v>
      </c>
      <c r="X12" s="363">
        <f t="shared" si="6"/>
        <v>26.692040653141053</v>
      </c>
    </row>
    <row r="13" spans="1:24" ht="15.75">
      <c r="A13" s="353">
        <v>8</v>
      </c>
      <c r="B13" s="354" t="s">
        <v>19</v>
      </c>
      <c r="C13" s="354">
        <v>5978</v>
      </c>
      <c r="D13" s="352">
        <f ca="1">+'Aggregate Resources'!C14</f>
        <v>843.74</v>
      </c>
      <c r="E13" s="352">
        <f ca="1">+'Aggregate Resources'!D14</f>
        <v>1037.0400000000004</v>
      </c>
      <c r="F13" s="352">
        <f ca="1">+'Aggregate Resources'!E14</f>
        <v>1029.6099999999999</v>
      </c>
      <c r="G13" s="352">
        <f ca="1">+'Aggregate Resources'!F14</f>
        <v>1523.1399999999999</v>
      </c>
      <c r="H13" s="352">
        <f ca="1">+'Aggregate Resources'!G14</f>
        <v>1285.82</v>
      </c>
      <c r="I13" s="352">
        <f ca="1">+'Aggregate Resources'!H14</f>
        <v>1581.16</v>
      </c>
      <c r="J13" s="352">
        <f ca="1">+'Aggregate Resources'!I14</f>
        <v>2000</v>
      </c>
      <c r="K13" s="364">
        <v>8075</v>
      </c>
      <c r="L13" s="364">
        <v>9436</v>
      </c>
      <c r="M13" s="364">
        <v>10527</v>
      </c>
      <c r="N13" s="364">
        <v>11759</v>
      </c>
      <c r="O13" s="364">
        <v>13203</v>
      </c>
      <c r="P13" s="364">
        <v>14832</v>
      </c>
      <c r="Q13" s="365">
        <f>+LOGEST(K13:P13)*P13</f>
        <v>16703.207706222278</v>
      </c>
      <c r="R13" s="363">
        <f t="shared" si="0"/>
        <v>10.448792569659442</v>
      </c>
      <c r="S13" s="363">
        <f t="shared" si="1"/>
        <v>10.990250105977113</v>
      </c>
      <c r="T13" s="363">
        <f t="shared" si="2"/>
        <v>9.7806592571482849</v>
      </c>
      <c r="U13" s="363">
        <f t="shared" si="3"/>
        <v>12.952972191512883</v>
      </c>
      <c r="V13" s="363">
        <f t="shared" si="4"/>
        <v>9.7388472316897658</v>
      </c>
      <c r="W13" s="363">
        <f t="shared" si="5"/>
        <v>10.660463861920173</v>
      </c>
      <c r="X13" s="363">
        <f t="shared" si="6"/>
        <v>11.973748008024591</v>
      </c>
    </row>
    <row r="14" spans="1:24" ht="15.75">
      <c r="A14" s="353">
        <v>9</v>
      </c>
      <c r="B14" s="354" t="s">
        <v>20</v>
      </c>
      <c r="C14" s="354">
        <v>4720</v>
      </c>
      <c r="D14" s="352">
        <f ca="1">+'Aggregate Resources'!C15</f>
        <v>770.44000000000028</v>
      </c>
      <c r="E14" s="352">
        <f ca="1">+'Aggregate Resources'!D15</f>
        <v>932.09000000000015</v>
      </c>
      <c r="F14" s="352">
        <f ca="1">+'Aggregate Resources'!E15</f>
        <v>1164.45</v>
      </c>
      <c r="G14" s="352">
        <f ca="1">+'Aggregate Resources'!F15</f>
        <v>673.65</v>
      </c>
      <c r="H14" s="352">
        <f ca="1">+'Aggregate Resources'!G15</f>
        <v>1498</v>
      </c>
      <c r="I14" s="352">
        <f ca="1">+'Aggregate Resources'!H15</f>
        <v>1852.34</v>
      </c>
      <c r="J14" s="352">
        <f ca="1">+'Aggregate Resources'!I15</f>
        <v>2060</v>
      </c>
      <c r="K14" s="352">
        <v>2506</v>
      </c>
      <c r="L14" s="352">
        <v>3229</v>
      </c>
      <c r="M14" s="352">
        <v>6133</v>
      </c>
      <c r="N14" s="352">
        <v>7412</v>
      </c>
      <c r="O14" s="352">
        <v>8616</v>
      </c>
      <c r="P14" s="364">
        <v>9957</v>
      </c>
      <c r="Q14" s="365">
        <f>+LOGEST(K14:P14)*P14</f>
        <v>13261.907960807141</v>
      </c>
      <c r="R14" s="363">
        <f t="shared" si="0"/>
        <v>30.743814844373514</v>
      </c>
      <c r="S14" s="363">
        <f t="shared" si="1"/>
        <v>28.866212449674826</v>
      </c>
      <c r="T14" s="363">
        <f t="shared" si="2"/>
        <v>18.986629708136313</v>
      </c>
      <c r="U14" s="363">
        <f t="shared" si="3"/>
        <v>9.0886400431732319</v>
      </c>
      <c r="V14" s="363">
        <f t="shared" si="4"/>
        <v>17.386258124419683</v>
      </c>
      <c r="W14" s="363">
        <f t="shared" si="5"/>
        <v>18.603394596766094</v>
      </c>
      <c r="X14" s="363">
        <f t="shared" si="6"/>
        <v>15.533209897760633</v>
      </c>
    </row>
    <row r="15" spans="1:24" ht="15.75">
      <c r="A15" s="353">
        <v>10</v>
      </c>
      <c r="B15" s="354" t="s">
        <v>21</v>
      </c>
      <c r="C15" s="354">
        <v>8852</v>
      </c>
      <c r="D15" s="352">
        <f ca="1">+'Aggregate Resources'!C16</f>
        <v>1197.02</v>
      </c>
      <c r="E15" s="352">
        <f ca="1">+'Aggregate Resources'!D16</f>
        <v>1827.44</v>
      </c>
      <c r="F15" s="352">
        <f ca="1">+'Aggregate Resources'!E16</f>
        <v>1654.25</v>
      </c>
      <c r="G15" s="352">
        <f ca="1">+'Aggregate Resources'!F16</f>
        <v>1860</v>
      </c>
      <c r="H15" s="352">
        <f ca="1">+'Aggregate Resources'!G16</f>
        <v>1971.26</v>
      </c>
      <c r="I15" s="352">
        <f ca="1">+'Aggregate Resources'!H16</f>
        <v>2146.2200000000003</v>
      </c>
      <c r="J15" s="352">
        <f ca="1">+'Aggregate Resources'!I16</f>
        <v>2500</v>
      </c>
      <c r="K15" s="352">
        <v>11797</v>
      </c>
      <c r="L15" s="352">
        <v>13573</v>
      </c>
      <c r="M15" s="352">
        <v>15403</v>
      </c>
      <c r="N15" s="352">
        <v>17868</v>
      </c>
      <c r="O15" s="352">
        <v>20982</v>
      </c>
      <c r="P15" s="364">
        <v>23855</v>
      </c>
      <c r="Q15" s="365">
        <f>+LOGEST(K15:P15)*P15</f>
        <v>27499.381963863005</v>
      </c>
      <c r="R15" s="363">
        <f t="shared" si="0"/>
        <v>10.14681698736967</v>
      </c>
      <c r="S15" s="363">
        <f t="shared" si="1"/>
        <v>13.463788403448021</v>
      </c>
      <c r="T15" s="363">
        <f t="shared" si="2"/>
        <v>10.739790949814971</v>
      </c>
      <c r="U15" s="363">
        <f t="shared" si="3"/>
        <v>10.409670920080591</v>
      </c>
      <c r="V15" s="363">
        <f t="shared" si="4"/>
        <v>9.3950052425888853</v>
      </c>
      <c r="W15" s="363">
        <f t="shared" si="5"/>
        <v>8.9969398448962501</v>
      </c>
      <c r="X15" s="363">
        <f t="shared" si="6"/>
        <v>9.0911134049676274</v>
      </c>
    </row>
    <row r="16" spans="1:24" ht="15.75">
      <c r="A16" s="353">
        <v>11</v>
      </c>
      <c r="B16" s="354" t="s">
        <v>22</v>
      </c>
      <c r="C16" s="354">
        <v>42798</v>
      </c>
      <c r="D16" s="352">
        <f ca="1">+'Aggregate Resources'!C17</f>
        <v>4818.7099907176671</v>
      </c>
      <c r="E16" s="352">
        <f ca="1">+'Aggregate Resources'!D17</f>
        <v>4094.4909164651503</v>
      </c>
      <c r="F16" s="352">
        <f ca="1">+'Aggregate Resources'!E17</f>
        <v>4744.228000000001</v>
      </c>
      <c r="G16" s="352">
        <f ca="1">+'Aggregate Resources'!F17</f>
        <v>6407.8465999999989</v>
      </c>
      <c r="H16" s="352">
        <f ca="1">+'Aggregate Resources'!G17</f>
        <v>5555.32</v>
      </c>
      <c r="I16" s="352">
        <f ca="1">+'Aggregate Resources'!H17</f>
        <v>6049.86</v>
      </c>
      <c r="J16" s="352">
        <f ca="1">+'Aggregate Resources'!I17</f>
        <v>8500</v>
      </c>
      <c r="K16" s="352">
        <v>45856</v>
      </c>
      <c r="L16" s="352">
        <v>56025</v>
      </c>
      <c r="M16" s="352">
        <v>70730</v>
      </c>
      <c r="N16" s="352">
        <v>83969</v>
      </c>
      <c r="O16" s="352">
        <v>97696</v>
      </c>
      <c r="P16" s="364">
        <v>113958</v>
      </c>
      <c r="Q16" s="365">
        <v>132969</v>
      </c>
      <c r="R16" s="363">
        <f t="shared" si="0"/>
        <v>10.508352212835108</v>
      </c>
      <c r="S16" s="363">
        <f t="shared" si="1"/>
        <v>7.3083282757075416</v>
      </c>
      <c r="T16" s="363">
        <f t="shared" si="2"/>
        <v>6.7075187332108026</v>
      </c>
      <c r="U16" s="363">
        <f t="shared" si="3"/>
        <v>7.631205087591848</v>
      </c>
      <c r="V16" s="363">
        <f t="shared" si="4"/>
        <v>5.6863331149688827</v>
      </c>
      <c r="W16" s="363">
        <f t="shared" si="5"/>
        <v>5.3088506291791706</v>
      </c>
      <c r="X16" s="363">
        <f t="shared" si="6"/>
        <v>6.3924674172175466</v>
      </c>
    </row>
    <row r="17" spans="1:24" s="356" customFormat="1">
      <c r="A17" s="350"/>
      <c r="B17" s="351" t="s">
        <v>229</v>
      </c>
      <c r="C17" s="366">
        <f>SUM(C6:C16)</f>
        <v>156688</v>
      </c>
      <c r="D17" s="355">
        <f ca="1">+'Aggregate Resources'!C18</f>
        <v>23725.639990717664</v>
      </c>
      <c r="E17" s="355">
        <f ca="1">+'Aggregate Resources'!D18</f>
        <v>27780.610916465153</v>
      </c>
      <c r="F17" s="355">
        <f ca="1">+'Aggregate Resources'!E18</f>
        <v>29787.768000000004</v>
      </c>
      <c r="G17" s="355">
        <f ca="1">+'Aggregate Resources'!F18</f>
        <v>34243.936599999994</v>
      </c>
      <c r="H17" s="355">
        <f ca="1">+'Aggregate Resources'!G18</f>
        <v>37385.770000000004</v>
      </c>
      <c r="I17" s="355">
        <f ca="1">+'Aggregate Resources'!H18</f>
        <v>43715.270000000004</v>
      </c>
      <c r="J17" s="355">
        <f ca="1">+'Aggregate Resources'!I18</f>
        <v>52961</v>
      </c>
      <c r="K17" s="355">
        <f t="shared" ref="K17:Q17" si="7">SUM(K6:K16)</f>
        <v>235516</v>
      </c>
      <c r="L17" s="355">
        <f t="shared" si="7"/>
        <v>276415</v>
      </c>
      <c r="M17" s="355">
        <f t="shared" si="7"/>
        <v>329039</v>
      </c>
      <c r="N17" s="355">
        <f t="shared" si="7"/>
        <v>388342</v>
      </c>
      <c r="O17" s="355">
        <f t="shared" si="7"/>
        <v>441766</v>
      </c>
      <c r="P17" s="367">
        <f t="shared" si="7"/>
        <v>503769</v>
      </c>
      <c r="Q17" s="367">
        <f t="shared" si="7"/>
        <v>579978.71104944497</v>
      </c>
      <c r="R17" s="366">
        <f t="shared" si="0"/>
        <v>10.073897310890837</v>
      </c>
      <c r="S17" s="366">
        <f t="shared" si="1"/>
        <v>10.050326833371978</v>
      </c>
      <c r="T17" s="366">
        <f t="shared" si="2"/>
        <v>9.052959679551666</v>
      </c>
      <c r="U17" s="366">
        <f t="shared" si="3"/>
        <v>8.8179843024962512</v>
      </c>
      <c r="V17" s="366">
        <f t="shared" si="4"/>
        <v>8.4627993100419694</v>
      </c>
      <c r="W17" s="366">
        <f t="shared" si="5"/>
        <v>8.6776419350932681</v>
      </c>
      <c r="X17" s="366">
        <f t="shared" si="6"/>
        <v>9.131542070599366</v>
      </c>
    </row>
    <row r="18" spans="1:24" ht="15.75">
      <c r="A18" s="350" t="s">
        <v>230</v>
      </c>
      <c r="B18" s="351" t="s">
        <v>310</v>
      </c>
      <c r="C18" s="351"/>
      <c r="D18" s="352"/>
      <c r="E18" s="352"/>
      <c r="F18" s="352"/>
      <c r="G18" s="352"/>
      <c r="H18" s="352"/>
      <c r="I18" s="352"/>
      <c r="J18" s="352"/>
      <c r="K18" s="345"/>
      <c r="L18" s="345"/>
      <c r="M18" s="345"/>
      <c r="N18" s="345"/>
      <c r="O18" s="345"/>
      <c r="P18" s="368"/>
      <c r="Q18" s="369"/>
      <c r="R18" s="345"/>
      <c r="S18" s="345"/>
      <c r="T18" s="345"/>
      <c r="U18" s="345"/>
      <c r="V18" s="345"/>
      <c r="W18" s="345"/>
      <c r="X18" s="363"/>
    </row>
    <row r="19" spans="1:24" ht="15.75">
      <c r="A19" s="353">
        <v>1</v>
      </c>
      <c r="B19" s="354" t="s">
        <v>25</v>
      </c>
      <c r="C19" s="370">
        <v>147395</v>
      </c>
      <c r="D19" s="352">
        <f ca="1">+'Aggregate Resources'!C20</f>
        <v>27178.14</v>
      </c>
      <c r="E19" s="352">
        <f ca="1">+'Aggregate Resources'!D20</f>
        <v>30629.89</v>
      </c>
      <c r="F19" s="352">
        <f ca="1">+'Aggregate Resources'!E20</f>
        <v>29405.25</v>
      </c>
      <c r="G19" s="352">
        <f ca="1">+'Aggregate Resources'!F20</f>
        <v>31592.91</v>
      </c>
      <c r="H19" s="352">
        <f ca="1">+'Aggregate Resources'!G20</f>
        <v>43000</v>
      </c>
      <c r="I19" s="352">
        <f ca="1">+'Aggregate Resources'!H20</f>
        <v>44113.189999999995</v>
      </c>
      <c r="J19" s="352">
        <f ca="1">+'Aggregate Resources'!I20</f>
        <v>53000</v>
      </c>
      <c r="K19" s="352">
        <v>364813</v>
      </c>
      <c r="L19" s="352">
        <v>426765</v>
      </c>
      <c r="M19" s="352">
        <v>476835</v>
      </c>
      <c r="N19" s="352">
        <v>583762</v>
      </c>
      <c r="O19" s="352">
        <v>662592</v>
      </c>
      <c r="P19" s="364">
        <v>754409</v>
      </c>
      <c r="Q19" s="365">
        <v>857364</v>
      </c>
      <c r="R19" s="363">
        <f t="shared" ref="R19:R37" si="8">D19/K19*100</f>
        <v>7.4498825425629018</v>
      </c>
      <c r="S19" s="363">
        <f t="shared" ref="S19:S37" si="9">E19/L19*100</f>
        <v>7.1772263423664082</v>
      </c>
      <c r="T19" s="363">
        <f t="shared" ref="T19:T37" si="10">F19/M19*100</f>
        <v>6.1667557960300732</v>
      </c>
      <c r="U19" s="363">
        <f t="shared" ref="U19:U37" si="11">G19/N19*100</f>
        <v>5.4119504181498623</v>
      </c>
      <c r="V19" s="363">
        <f t="shared" ref="V19:V37" si="12">H19/O19*100</f>
        <v>6.4896648314498204</v>
      </c>
      <c r="W19" s="363">
        <f t="shared" ref="W19:W37" si="13">I19/P19*100</f>
        <v>5.8473838461630221</v>
      </c>
      <c r="X19" s="363">
        <f t="shared" ref="X19:X37" si="14">J19/Q19*100</f>
        <v>6.1817384448145711</v>
      </c>
    </row>
    <row r="20" spans="1:24" ht="15.75">
      <c r="A20" s="353">
        <v>2</v>
      </c>
      <c r="B20" s="354" t="s">
        <v>26</v>
      </c>
      <c r="C20" s="354">
        <v>60631</v>
      </c>
      <c r="D20" s="352">
        <f ca="1">+'Aggregate Resources'!C21</f>
        <v>10436.18</v>
      </c>
      <c r="E20" s="352">
        <f ca="1">+'Aggregate Resources'!D21</f>
        <v>13692.85</v>
      </c>
      <c r="F20" s="352">
        <f ca="1">+'Aggregate Resources'!E21</f>
        <v>16386.509999999998</v>
      </c>
      <c r="G20" s="352">
        <f ca="1">+'Aggregate Resources'!F21</f>
        <v>19312.069999999992</v>
      </c>
      <c r="H20" s="352">
        <f ca="1">+'Aggregate Resources'!G21</f>
        <v>24000</v>
      </c>
      <c r="I20" s="352">
        <f ca="1">+'Aggregate Resources'!H21</f>
        <v>25203.539999999997</v>
      </c>
      <c r="J20" s="352">
        <f ca="1">+'Aggregate Resources'!I21</f>
        <v>34000</v>
      </c>
      <c r="K20" s="352">
        <v>113680</v>
      </c>
      <c r="L20" s="352">
        <v>142279</v>
      </c>
      <c r="M20" s="352">
        <v>162924</v>
      </c>
      <c r="N20" s="352">
        <v>204289</v>
      </c>
      <c r="O20" s="352">
        <v>247318</v>
      </c>
      <c r="P20" s="364">
        <v>313995</v>
      </c>
      <c r="Q20" s="365">
        <v>368337</v>
      </c>
      <c r="R20" s="363">
        <f t="shared" si="8"/>
        <v>9.1803131597466567</v>
      </c>
      <c r="S20" s="363">
        <f t="shared" si="9"/>
        <v>9.6239430977164595</v>
      </c>
      <c r="T20" s="363">
        <f t="shared" si="10"/>
        <v>10.057763128820799</v>
      </c>
      <c r="U20" s="363">
        <f t="shared" si="11"/>
        <v>9.4533087929354949</v>
      </c>
      <c r="V20" s="363">
        <f t="shared" si="12"/>
        <v>9.7041056453634589</v>
      </c>
      <c r="W20" s="363">
        <f t="shared" si="13"/>
        <v>8.0267329097597084</v>
      </c>
      <c r="X20" s="363">
        <f t="shared" si="14"/>
        <v>9.2306773416735233</v>
      </c>
    </row>
    <row r="21" spans="1:24" ht="15.75">
      <c r="A21" s="353">
        <v>3</v>
      </c>
      <c r="B21" s="354" t="s">
        <v>27</v>
      </c>
      <c r="C21" s="354">
        <v>53730</v>
      </c>
      <c r="D21" s="352">
        <f ca="1">+'Aggregate Resources'!C22</f>
        <v>6048.2000000000044</v>
      </c>
      <c r="E21" s="352">
        <f ca="1">+'Aggregate Resources'!D22</f>
        <v>6553.67</v>
      </c>
      <c r="F21" s="352">
        <f ca="1">+'Aggregate Resources'!E22</f>
        <v>9494.77</v>
      </c>
      <c r="G21" s="352">
        <f ca="1">+'Aggregate Resources'!F22</f>
        <v>11334.17</v>
      </c>
      <c r="H21" s="352">
        <f ca="1">+'Aggregate Resources'!G22</f>
        <v>16997.66</v>
      </c>
      <c r="I21" s="352">
        <f ca="1">+'Aggregate Resources'!H22</f>
        <v>19888.77</v>
      </c>
      <c r="J21" s="352">
        <f ca="1">+'Aggregate Resources'!I22</f>
        <v>25250</v>
      </c>
      <c r="K21" s="352">
        <v>80255</v>
      </c>
      <c r="L21" s="352">
        <v>96972</v>
      </c>
      <c r="M21" s="352">
        <v>99364</v>
      </c>
      <c r="N21" s="352">
        <v>119420</v>
      </c>
      <c r="O21" s="352">
        <v>132872</v>
      </c>
      <c r="P21" s="364">
        <v>153621</v>
      </c>
      <c r="Q21" s="365">
        <v>175961</v>
      </c>
      <c r="R21" s="363">
        <f t="shared" si="8"/>
        <v>7.5362282723817886</v>
      </c>
      <c r="S21" s="363">
        <f t="shared" si="9"/>
        <v>6.7583116775976571</v>
      </c>
      <c r="T21" s="363">
        <f t="shared" si="10"/>
        <v>9.5555432551024513</v>
      </c>
      <c r="U21" s="363">
        <f t="shared" si="11"/>
        <v>9.4910149053759838</v>
      </c>
      <c r="V21" s="363">
        <f t="shared" si="12"/>
        <v>12.792507074477694</v>
      </c>
      <c r="W21" s="363">
        <f t="shared" si="13"/>
        <v>12.946647919229793</v>
      </c>
      <c r="X21" s="363">
        <f t="shared" si="14"/>
        <v>14.349770687822868</v>
      </c>
    </row>
    <row r="22" spans="1:24" ht="15.75">
      <c r="A22" s="353">
        <v>4</v>
      </c>
      <c r="B22" s="354" t="s">
        <v>28</v>
      </c>
      <c r="C22" s="354">
        <v>8485</v>
      </c>
      <c r="D22" s="352">
        <f ca="1">+'Aggregate Resources'!C23</f>
        <v>1265.0799999999972</v>
      </c>
      <c r="E22" s="352">
        <f ca="1">+'Aggregate Resources'!D23</f>
        <v>1623.8397699999996</v>
      </c>
      <c r="F22" s="352">
        <f ca="1">+'Aggregate Resources'!E23</f>
        <v>2229.3099999999995</v>
      </c>
      <c r="G22" s="352">
        <f ca="1">+'Aggregate Resources'!F23</f>
        <v>2442.8999999999996</v>
      </c>
      <c r="H22" s="352">
        <f ca="1">+'Aggregate Resources'!G23</f>
        <v>2384.23</v>
      </c>
      <c r="I22" s="352">
        <f ca="1">+'Aggregate Resources'!H23</f>
        <v>3157.5099999999998</v>
      </c>
      <c r="J22" s="352">
        <f ca="1">+'Aggregate Resources'!I23</f>
        <v>4714.9999999999991</v>
      </c>
      <c r="K22" s="364">
        <v>19565</v>
      </c>
      <c r="L22" s="364">
        <v>25414</v>
      </c>
      <c r="M22" s="364">
        <v>29126</v>
      </c>
      <c r="N22" s="364">
        <v>33605</v>
      </c>
      <c r="O22" s="364">
        <v>36025</v>
      </c>
      <c r="P22" s="364">
        <v>34965</v>
      </c>
      <c r="Q22" s="365">
        <f>+LOGEST(K22:P22)*P22</f>
        <v>39302.375411462228</v>
      </c>
      <c r="R22" s="363">
        <f t="shared" si="8"/>
        <v>6.4660362892920888</v>
      </c>
      <c r="S22" s="363">
        <f t="shared" si="9"/>
        <v>6.3895481624301542</v>
      </c>
      <c r="T22" s="363">
        <f t="shared" si="10"/>
        <v>7.6540204628167254</v>
      </c>
      <c r="U22" s="363">
        <f t="shared" si="11"/>
        <v>7.2694539503050128</v>
      </c>
      <c r="V22" s="363">
        <f t="shared" si="12"/>
        <v>6.6182650936849416</v>
      </c>
      <c r="W22" s="363">
        <f t="shared" si="13"/>
        <v>9.0304876304876291</v>
      </c>
      <c r="X22" s="363">
        <f t="shared" si="14"/>
        <v>11.996730351888365</v>
      </c>
    </row>
    <row r="23" spans="1:24" ht="15.75">
      <c r="A23" s="353">
        <v>5</v>
      </c>
      <c r="B23" s="354" t="s">
        <v>29</v>
      </c>
      <c r="C23" s="354">
        <v>106918</v>
      </c>
      <c r="D23" s="352">
        <f ca="1">+'Aggregate Resources'!C24</f>
        <v>15765.120000000006</v>
      </c>
      <c r="E23" s="352">
        <f ca="1">+'Aggregate Resources'!D24</f>
        <v>21940.82</v>
      </c>
      <c r="F23" s="352">
        <f ca="1">+'Aggregate Resources'!E24</f>
        <v>22582.17</v>
      </c>
      <c r="G23" s="352">
        <f ca="1">+'Aggregate Resources'!F24</f>
        <v>27553.35</v>
      </c>
      <c r="H23" s="352">
        <f ca="1">+'Aggregate Resources'!G24</f>
        <v>31070.74</v>
      </c>
      <c r="I23" s="352">
        <f ca="1">+'Aggregate Resources'!H24</f>
        <v>51338.45</v>
      </c>
      <c r="J23" s="352">
        <f ca="1">+'Aggregate Resources'!I24</f>
        <v>58999.999999999993</v>
      </c>
      <c r="K23" s="364">
        <v>329285</v>
      </c>
      <c r="L23" s="364">
        <v>367912</v>
      </c>
      <c r="M23" s="364">
        <v>431262</v>
      </c>
      <c r="N23" s="364">
        <v>521519</v>
      </c>
      <c r="O23" s="364">
        <v>594563</v>
      </c>
      <c r="P23" s="364">
        <v>670016</v>
      </c>
      <c r="Q23" s="365">
        <f>+LOGEST(K23:P23)*P23</f>
        <v>776933.66658041347</v>
      </c>
      <c r="R23" s="363">
        <f t="shared" si="8"/>
        <v>4.7876824027817868</v>
      </c>
      <c r="S23" s="363">
        <f t="shared" si="9"/>
        <v>5.9636054273848087</v>
      </c>
      <c r="T23" s="363">
        <f t="shared" si="10"/>
        <v>5.236299511665762</v>
      </c>
      <c r="U23" s="363">
        <f t="shared" si="11"/>
        <v>5.283287857201751</v>
      </c>
      <c r="V23" s="363">
        <f t="shared" si="12"/>
        <v>5.2258112260601486</v>
      </c>
      <c r="W23" s="363">
        <f t="shared" si="13"/>
        <v>7.6622722442449138</v>
      </c>
      <c r="X23" s="363">
        <f t="shared" si="14"/>
        <v>7.5939558984078896</v>
      </c>
    </row>
    <row r="24" spans="1:24" ht="15.75">
      <c r="A24" s="353">
        <v>6</v>
      </c>
      <c r="B24" s="354" t="s">
        <v>30</v>
      </c>
      <c r="C24" s="354">
        <v>33374</v>
      </c>
      <c r="D24" s="352">
        <f ca="1">+'Aggregate Resources'!C25</f>
        <v>10709.6</v>
      </c>
      <c r="E24" s="352">
        <f ca="1">+'Aggregate Resources'!D25</f>
        <v>13849.01</v>
      </c>
      <c r="F24" s="352">
        <f ca="1">+'Aggregate Resources'!E25</f>
        <v>18922.329999999998</v>
      </c>
      <c r="G24" s="352">
        <f ca="1">+'Aggregate Resources'!F25</f>
        <v>15721.910000000002</v>
      </c>
      <c r="H24" s="352">
        <f ca="1">+'Aggregate Resources'!G25</f>
        <v>20358.14</v>
      </c>
      <c r="I24" s="352">
        <f ca="1">+'Aggregate Resources'!H25</f>
        <v>23510.730000000003</v>
      </c>
      <c r="J24" s="352">
        <f ca="1">+'Aggregate Resources'!I25</f>
        <v>27072</v>
      </c>
      <c r="K24" s="364">
        <v>151596</v>
      </c>
      <c r="L24" s="364">
        <v>182522</v>
      </c>
      <c r="M24" s="364">
        <v>223600</v>
      </c>
      <c r="N24" s="364">
        <v>260621</v>
      </c>
      <c r="O24" s="364">
        <v>301959</v>
      </c>
      <c r="P24" s="364">
        <v>345238</v>
      </c>
      <c r="Q24" s="365">
        <v>392894</v>
      </c>
      <c r="R24" s="363">
        <f t="shared" si="8"/>
        <v>7.0645663473970295</v>
      </c>
      <c r="S24" s="363">
        <f t="shared" si="9"/>
        <v>7.5875839624812356</v>
      </c>
      <c r="T24" s="363">
        <f t="shared" si="10"/>
        <v>8.4625805008944539</v>
      </c>
      <c r="U24" s="363">
        <f t="shared" si="11"/>
        <v>6.0324801148027216</v>
      </c>
      <c r="V24" s="363">
        <f t="shared" si="12"/>
        <v>6.7420212677880107</v>
      </c>
      <c r="W24" s="363">
        <f t="shared" si="13"/>
        <v>6.8100064303466015</v>
      </c>
      <c r="X24" s="363">
        <f t="shared" si="14"/>
        <v>6.8904080998946275</v>
      </c>
    </row>
    <row r="25" spans="1:24" ht="15.75">
      <c r="A25" s="353">
        <v>7</v>
      </c>
      <c r="B25" s="354" t="s">
        <v>31</v>
      </c>
      <c r="C25" s="354">
        <v>40240</v>
      </c>
      <c r="D25" s="352">
        <f ca="1">+'Aggregate Resources'!C26</f>
        <v>5524.2900000000009</v>
      </c>
      <c r="E25" s="352">
        <f ca="1">+'Aggregate Resources'!D26</f>
        <v>6667.5299999999988</v>
      </c>
      <c r="F25" s="352">
        <f ca="1">+'Aggregate Resources'!E26</f>
        <v>6746.5899999999983</v>
      </c>
      <c r="G25" s="352">
        <f ca="1">+'Aggregate Resources'!F26</f>
        <v>8525.4261000000006</v>
      </c>
      <c r="H25" s="352">
        <f ca="1">+'Aggregate Resources'!G26</f>
        <v>10199.42</v>
      </c>
      <c r="I25" s="352">
        <f ca="1">+'Aggregate Resources'!H26</f>
        <v>16300</v>
      </c>
      <c r="J25" s="352">
        <f ca="1">+'Aggregate Resources'!I26</f>
        <v>16800</v>
      </c>
      <c r="K25" s="352">
        <v>83950</v>
      </c>
      <c r="L25" s="352">
        <v>87794</v>
      </c>
      <c r="M25" s="352">
        <v>100621</v>
      </c>
      <c r="N25" s="352">
        <v>127281</v>
      </c>
      <c r="O25" s="352">
        <v>143891</v>
      </c>
      <c r="P25" s="364">
        <v>164876</v>
      </c>
      <c r="Q25" s="365">
        <v>189208</v>
      </c>
      <c r="R25" s="363">
        <f t="shared" si="8"/>
        <v>6.5804526503871363</v>
      </c>
      <c r="S25" s="363">
        <f t="shared" si="9"/>
        <v>7.5945167095701285</v>
      </c>
      <c r="T25" s="363">
        <f t="shared" si="10"/>
        <v>6.7049522465489302</v>
      </c>
      <c r="U25" s="363">
        <f t="shared" si="11"/>
        <v>6.6981137011808523</v>
      </c>
      <c r="V25" s="363">
        <f t="shared" si="12"/>
        <v>7.0882960018347223</v>
      </c>
      <c r="W25" s="363">
        <f t="shared" si="13"/>
        <v>9.8862175210461203</v>
      </c>
      <c r="X25" s="363">
        <f t="shared" si="14"/>
        <v>8.8791171620650289</v>
      </c>
    </row>
    <row r="26" spans="1:24" ht="15.75">
      <c r="A26" s="353">
        <v>8</v>
      </c>
      <c r="B26" s="354" t="s">
        <v>32</v>
      </c>
      <c r="C26" s="354">
        <v>101664</v>
      </c>
      <c r="D26" s="352">
        <f ca="1">+'Aggregate Resources'!C27</f>
        <v>17079.09</v>
      </c>
      <c r="E26" s="352">
        <f ca="1">+'Aggregate Resources'!D27</f>
        <v>23025.38</v>
      </c>
      <c r="F26" s="352">
        <f ca="1">+'Aggregate Resources'!E27</f>
        <v>26956.226039590947</v>
      </c>
      <c r="G26" s="352">
        <f ca="1">+'Aggregate Resources'!F27</f>
        <v>31154.43054036202</v>
      </c>
      <c r="H26" s="352">
        <f ca="1">+'Aggregate Resources'!G27</f>
        <v>38450</v>
      </c>
      <c r="I26" s="352">
        <f ca="1">+'Aggregate Resources'!H27</f>
        <v>42099.99</v>
      </c>
      <c r="J26" s="352">
        <f ca="1">+'Aggregate Resources'!I27</f>
        <v>47000.000000000007</v>
      </c>
      <c r="K26" s="352">
        <v>270629</v>
      </c>
      <c r="L26" s="352">
        <v>310312</v>
      </c>
      <c r="M26" s="352">
        <v>337559</v>
      </c>
      <c r="N26" s="352">
        <v>410703</v>
      </c>
      <c r="O26" s="352">
        <v>458894</v>
      </c>
      <c r="P26" s="364">
        <v>524502</v>
      </c>
      <c r="Q26" s="365">
        <v>593811</v>
      </c>
      <c r="R26" s="363">
        <f t="shared" si="8"/>
        <v>6.3108868598708927</v>
      </c>
      <c r="S26" s="363">
        <f t="shared" si="9"/>
        <v>7.420073990048726</v>
      </c>
      <c r="T26" s="363">
        <f t="shared" si="10"/>
        <v>7.9856339305398301</v>
      </c>
      <c r="U26" s="363">
        <f t="shared" si="11"/>
        <v>7.5856350064065809</v>
      </c>
      <c r="V26" s="363">
        <f t="shared" si="12"/>
        <v>8.3788413010412004</v>
      </c>
      <c r="W26" s="363">
        <f t="shared" si="13"/>
        <v>8.0266595742246931</v>
      </c>
      <c r="X26" s="363">
        <f t="shared" si="14"/>
        <v>7.9149763140123719</v>
      </c>
    </row>
    <row r="27" spans="1:24" ht="15.75">
      <c r="A27" s="353">
        <v>9</v>
      </c>
      <c r="B27" s="354" t="s">
        <v>33</v>
      </c>
      <c r="C27" s="354">
        <v>41940</v>
      </c>
      <c r="D27" s="352">
        <f ca="1">+'Aggregate Resources'!C28</f>
        <v>5815.4100000000053</v>
      </c>
      <c r="E27" s="352">
        <f ca="1">+'Aggregate Resources'!D28</f>
        <v>6689.4826712999984</v>
      </c>
      <c r="F27" s="352">
        <f ca="1">+'Aggregate Resources'!E28</f>
        <v>8540.8400000000038</v>
      </c>
      <c r="G27" s="352">
        <f ca="1">+'Aggregate Resources'!F28</f>
        <v>9242.25</v>
      </c>
      <c r="H27" s="352">
        <f ca="1">+'Aggregate Resources'!G28</f>
        <v>12010.01</v>
      </c>
      <c r="I27" s="352">
        <f ca="1">+'Aggregate Resources'!H28</f>
        <v>14015.05</v>
      </c>
      <c r="J27" s="352">
        <f ca="1">+'Aggregate Resources'!I28</f>
        <v>17000.000000000004</v>
      </c>
      <c r="K27" s="352">
        <v>175141</v>
      </c>
      <c r="L27" s="352">
        <v>202783</v>
      </c>
      <c r="M27" s="352">
        <v>231999</v>
      </c>
      <c r="N27" s="352">
        <v>263773</v>
      </c>
      <c r="O27" s="352">
        <v>307906</v>
      </c>
      <c r="P27" s="364">
        <v>349338</v>
      </c>
      <c r="Q27" s="365">
        <f>+LOGEST(K27:P27)*P27</f>
        <v>401072.42420974676</v>
      </c>
      <c r="R27" s="363">
        <f t="shared" si="8"/>
        <v>3.320416121867527</v>
      </c>
      <c r="S27" s="363">
        <f t="shared" si="9"/>
        <v>3.2988380048130264</v>
      </c>
      <c r="T27" s="363">
        <f t="shared" si="10"/>
        <v>3.6814124198811222</v>
      </c>
      <c r="U27" s="363">
        <f t="shared" si="11"/>
        <v>3.50386506579521</v>
      </c>
      <c r="V27" s="363">
        <f t="shared" si="12"/>
        <v>3.9005443219683933</v>
      </c>
      <c r="W27" s="363">
        <f t="shared" si="13"/>
        <v>4.0118881999667941</v>
      </c>
      <c r="X27" s="363">
        <f t="shared" si="14"/>
        <v>4.2386359604492778</v>
      </c>
    </row>
    <row r="28" spans="1:24" ht="15.75">
      <c r="A28" s="353">
        <v>10</v>
      </c>
      <c r="B28" s="354" t="s">
        <v>34</v>
      </c>
      <c r="C28" s="354">
        <v>70329</v>
      </c>
      <c r="D28" s="352">
        <f ca="1">+'Aggregate Resources'!C29</f>
        <v>10785.73</v>
      </c>
      <c r="E28" s="352">
        <f ca="1">+'Aggregate Resources'!D29</f>
        <v>11948.82</v>
      </c>
      <c r="F28" s="352">
        <f ca="1">+'Aggregate Resources'!E29</f>
        <v>14560.84</v>
      </c>
      <c r="G28" s="352">
        <f ca="1">+'Aggregate Resources'!F29</f>
        <v>18992.22</v>
      </c>
      <c r="H28" s="352">
        <f ca="1">+'Aggregate Resources'!G29</f>
        <v>27800.67</v>
      </c>
      <c r="I28" s="352">
        <f ca="1">+'Aggregate Resources'!H29</f>
        <v>28536.720000000001</v>
      </c>
      <c r="J28" s="352">
        <f ca="1">+'Aggregate Resources'!I29</f>
        <v>35500</v>
      </c>
      <c r="K28" s="352">
        <v>161479</v>
      </c>
      <c r="L28" s="352">
        <v>197276</v>
      </c>
      <c r="M28" s="352">
        <v>227557</v>
      </c>
      <c r="N28" s="352">
        <v>263396</v>
      </c>
      <c r="O28" s="352">
        <v>311670</v>
      </c>
      <c r="P28" s="364">
        <v>372171</v>
      </c>
      <c r="Q28" s="365">
        <v>450900</v>
      </c>
      <c r="R28" s="363">
        <f t="shared" si="8"/>
        <v>6.6793391091101624</v>
      </c>
      <c r="S28" s="363">
        <f t="shared" si="9"/>
        <v>6.0569050467365511</v>
      </c>
      <c r="T28" s="363">
        <f t="shared" si="10"/>
        <v>6.3987660234578598</v>
      </c>
      <c r="U28" s="363">
        <f t="shared" si="11"/>
        <v>7.2105195219365523</v>
      </c>
      <c r="V28" s="363">
        <f t="shared" si="12"/>
        <v>8.9199056694580801</v>
      </c>
      <c r="W28" s="363">
        <f t="shared" si="13"/>
        <v>7.6676366508943463</v>
      </c>
      <c r="X28" s="363">
        <f t="shared" si="14"/>
        <v>7.8731426036815249</v>
      </c>
    </row>
    <row r="29" spans="1:24" ht="15.75">
      <c r="A29" s="353">
        <v>11</v>
      </c>
      <c r="B29" s="354" t="s">
        <v>35</v>
      </c>
      <c r="C29" s="354">
        <v>127538</v>
      </c>
      <c r="D29" s="352">
        <f ca="1">+'Aggregate Resources'!C30</f>
        <v>18660.779999999984</v>
      </c>
      <c r="E29" s="352">
        <f ca="1">+'Aggregate Resources'!D30</f>
        <v>23292.369999999988</v>
      </c>
      <c r="F29" s="352">
        <f ca="1">+'Aggregate Resources'!E30</f>
        <v>29927.849999999984</v>
      </c>
      <c r="G29" s="352">
        <f ca="1">+'Aggregate Resources'!F30</f>
        <v>33057.07</v>
      </c>
      <c r="H29" s="352">
        <f ca="1">+'Aggregate Resources'!G30</f>
        <v>37054.18</v>
      </c>
      <c r="I29" s="352">
        <f ca="1">+'Aggregate Resources'!H30</f>
        <v>40358.35</v>
      </c>
      <c r="J29" s="352">
        <f ca="1">+'Aggregate Resources'!I30</f>
        <v>80500</v>
      </c>
      <c r="K29" s="352">
        <v>684817</v>
      </c>
      <c r="L29" s="352">
        <v>753969</v>
      </c>
      <c r="M29" s="352">
        <v>855751</v>
      </c>
      <c r="N29" s="352">
        <v>1035086</v>
      </c>
      <c r="O29" s="352">
        <v>1199548</v>
      </c>
      <c r="P29" s="364">
        <v>1372644</v>
      </c>
      <c r="Q29" s="365">
        <f>+LOGEST(K29:P29)*P29</f>
        <v>1586151.7193253073</v>
      </c>
      <c r="R29" s="363">
        <f t="shared" si="8"/>
        <v>2.7249294337027239</v>
      </c>
      <c r="S29" s="363">
        <f t="shared" si="9"/>
        <v>3.0893007537445158</v>
      </c>
      <c r="T29" s="363">
        <f t="shared" si="10"/>
        <v>3.4972614697499607</v>
      </c>
      <c r="U29" s="363">
        <f t="shared" si="11"/>
        <v>3.193654440307375</v>
      </c>
      <c r="V29" s="363">
        <f t="shared" si="12"/>
        <v>3.0890118611343604</v>
      </c>
      <c r="W29" s="363">
        <f t="shared" si="13"/>
        <v>2.9401906102383428</v>
      </c>
      <c r="X29" s="363">
        <f t="shared" si="14"/>
        <v>5.075176543278082</v>
      </c>
    </row>
    <row r="30" spans="1:24" ht="15.75">
      <c r="A30" s="353">
        <v>12</v>
      </c>
      <c r="B30" s="354" t="s">
        <v>74</v>
      </c>
      <c r="C30" s="354">
        <v>32225</v>
      </c>
      <c r="D30" s="352">
        <f ca="1">+'Aggregate Resources'!C31</f>
        <v>5950.59</v>
      </c>
      <c r="E30" s="352">
        <f ca="1">+'Aggregate Resources'!D31</f>
        <v>7799.54</v>
      </c>
      <c r="F30" s="352">
        <f ca="1">+'Aggregate Resources'!E31</f>
        <v>9404.35</v>
      </c>
      <c r="G30" s="352">
        <f ca="1">+'Aggregate Resources'!F31</f>
        <v>11237.9</v>
      </c>
      <c r="H30" s="352">
        <f ca="1">+'Aggregate Resources'!G31</f>
        <v>11520</v>
      </c>
      <c r="I30" s="352">
        <f ca="1">+'Aggregate Resources'!H31</f>
        <v>17733.939999999999</v>
      </c>
      <c r="J30" s="352">
        <f ca="1">+'Aggregate Resources'!I31</f>
        <v>21500</v>
      </c>
      <c r="K30" s="352">
        <v>129274</v>
      </c>
      <c r="L30" s="352">
        <v>148491</v>
      </c>
      <c r="M30" s="352">
        <v>162946</v>
      </c>
      <c r="N30" s="352">
        <v>197530</v>
      </c>
      <c r="O30" s="352">
        <v>214583</v>
      </c>
      <c r="P30" s="364">
        <v>255459</v>
      </c>
      <c r="Q30" s="365">
        <v>288414</v>
      </c>
      <c r="R30" s="363">
        <f t="shared" si="8"/>
        <v>4.6030833733001222</v>
      </c>
      <c r="S30" s="363">
        <f t="shared" si="9"/>
        <v>5.2525338235987364</v>
      </c>
      <c r="T30" s="363">
        <f t="shared" si="10"/>
        <v>5.7714518920378532</v>
      </c>
      <c r="U30" s="363">
        <f t="shared" si="11"/>
        <v>5.6892117653014731</v>
      </c>
      <c r="V30" s="363">
        <f t="shared" si="12"/>
        <v>5.3685520288186854</v>
      </c>
      <c r="W30" s="363">
        <f t="shared" si="13"/>
        <v>6.9419906912655263</v>
      </c>
      <c r="X30" s="363">
        <f t="shared" si="14"/>
        <v>7.4545618451254096</v>
      </c>
    </row>
    <row r="31" spans="1:24" ht="15.75">
      <c r="A31" s="353">
        <v>13</v>
      </c>
      <c r="B31" s="354" t="s">
        <v>36</v>
      </c>
      <c r="C31" s="354">
        <v>28923</v>
      </c>
      <c r="D31" s="352">
        <f ca="1">+'Aggregate Resources'!C32</f>
        <v>5099.6099999999979</v>
      </c>
      <c r="E31" s="352">
        <f ca="1">+'Aggregate Resources'!D32</f>
        <v>6623.9100000000017</v>
      </c>
      <c r="F31" s="352">
        <f ca="1">+'Aggregate Resources'!E32</f>
        <v>4698.6100000000033</v>
      </c>
      <c r="G31" s="352">
        <f ca="1">+'Aggregate Resources'!F32</f>
        <v>7631.0099999999966</v>
      </c>
      <c r="H31" s="352">
        <f ca="1">+'Aggregate Resources'!G32</f>
        <v>11520</v>
      </c>
      <c r="I31" s="352">
        <f ca="1">+'Aggregate Resources'!H32</f>
        <v>12870.759999999998</v>
      </c>
      <c r="J31" s="352">
        <f ca="1">+'Aggregate Resources'!I32</f>
        <v>16125</v>
      </c>
      <c r="K31" s="352">
        <v>152245</v>
      </c>
      <c r="L31" s="352">
        <v>174039</v>
      </c>
      <c r="M31" s="352">
        <v>197500</v>
      </c>
      <c r="N31" s="352">
        <v>226204</v>
      </c>
      <c r="O31" s="352">
        <v>256430</v>
      </c>
      <c r="P31" s="364">
        <v>286809</v>
      </c>
      <c r="Q31" s="365">
        <v>319117</v>
      </c>
      <c r="R31" s="363">
        <f t="shared" si="8"/>
        <v>3.3496075404775185</v>
      </c>
      <c r="S31" s="363">
        <f t="shared" si="9"/>
        <v>3.8059917604674824</v>
      </c>
      <c r="T31" s="363">
        <f t="shared" si="10"/>
        <v>2.3790430379746854</v>
      </c>
      <c r="U31" s="363">
        <f t="shared" si="11"/>
        <v>3.373507983943695</v>
      </c>
      <c r="V31" s="363">
        <f t="shared" si="12"/>
        <v>4.4924540810357598</v>
      </c>
      <c r="W31" s="363">
        <f t="shared" si="13"/>
        <v>4.4875718683862775</v>
      </c>
      <c r="X31" s="363">
        <f t="shared" si="14"/>
        <v>5.0530056374307852</v>
      </c>
    </row>
    <row r="32" spans="1:24" ht="15.75">
      <c r="A32" s="353">
        <v>14</v>
      </c>
      <c r="B32" s="354" t="s">
        <v>37</v>
      </c>
      <c r="C32" s="354">
        <v>71732</v>
      </c>
      <c r="D32" s="352">
        <f ca="1">+'Aggregate Resources'!C33</f>
        <v>12636.150000000007</v>
      </c>
      <c r="E32" s="352">
        <f ca="1">+'Aggregate Resources'!D33</f>
        <v>14555.99</v>
      </c>
      <c r="F32" s="352">
        <f ca="1">+'Aggregate Resources'!E33</f>
        <v>17961.330000000002</v>
      </c>
      <c r="G32" s="352">
        <f ca="1">+'Aggregate Resources'!F33</f>
        <v>21676.859999999997</v>
      </c>
      <c r="H32" s="352">
        <f ca="1">+'Aggregate Resources'!G33</f>
        <v>27436.5</v>
      </c>
      <c r="I32" s="352">
        <f ca="1">+'Aggregate Resources'!H33</f>
        <v>34800</v>
      </c>
      <c r="J32" s="352">
        <f ca="1">+'Aggregate Resources'!I33</f>
        <v>40500</v>
      </c>
      <c r="K32" s="352">
        <v>194822</v>
      </c>
      <c r="L32" s="352">
        <v>230949</v>
      </c>
      <c r="M32" s="352">
        <v>265825</v>
      </c>
      <c r="N32" s="352">
        <v>338348</v>
      </c>
      <c r="O32" s="352">
        <v>403422</v>
      </c>
      <c r="P32" s="364">
        <v>459215</v>
      </c>
      <c r="Q32" s="365">
        <v>513688</v>
      </c>
      <c r="R32" s="363">
        <f t="shared" si="8"/>
        <v>6.485997474617859</v>
      </c>
      <c r="S32" s="363">
        <f t="shared" si="9"/>
        <v>6.3026858743705327</v>
      </c>
      <c r="T32" s="363">
        <f t="shared" si="10"/>
        <v>6.7568249788394628</v>
      </c>
      <c r="U32" s="363">
        <f t="shared" si="11"/>
        <v>6.4066759667561204</v>
      </c>
      <c r="V32" s="363">
        <f t="shared" si="12"/>
        <v>6.8009429332064189</v>
      </c>
      <c r="W32" s="363">
        <f t="shared" si="13"/>
        <v>7.5781496684559526</v>
      </c>
      <c r="X32" s="363">
        <f t="shared" si="14"/>
        <v>7.8841631496161098</v>
      </c>
    </row>
    <row r="33" spans="1:24" ht="15.75">
      <c r="A33" s="353">
        <v>15</v>
      </c>
      <c r="B33" s="354" t="s">
        <v>38</v>
      </c>
      <c r="C33" s="354">
        <v>85344</v>
      </c>
      <c r="D33" s="352">
        <f ca="1">+'Aggregate Resources'!C34</f>
        <v>14224.3223</v>
      </c>
      <c r="E33" s="352">
        <f ca="1">+'Aggregate Resources'!D34</f>
        <v>16275.1</v>
      </c>
      <c r="F33" s="352">
        <f ca="1">+'Aggregate Resources'!E34</f>
        <v>17833.52</v>
      </c>
      <c r="G33" s="352">
        <f ca="1">+'Aggregate Resources'!F34</f>
        <v>20464.77</v>
      </c>
      <c r="H33" s="352">
        <f ca="1">+'Aggregate Resources'!G34</f>
        <v>23857.69</v>
      </c>
      <c r="I33" s="352">
        <f ca="1">+'Aggregate Resources'!H34</f>
        <v>28000</v>
      </c>
      <c r="J33" s="352">
        <f ca="1">+'Aggregate Resources'!I34</f>
        <v>37128</v>
      </c>
      <c r="K33" s="352">
        <v>350819</v>
      </c>
      <c r="L33" s="352">
        <v>401336</v>
      </c>
      <c r="M33" s="352">
        <v>479733</v>
      </c>
      <c r="N33" s="352">
        <v>584896</v>
      </c>
      <c r="O33" s="352">
        <v>665312</v>
      </c>
      <c r="P33" s="364">
        <v>744474</v>
      </c>
      <c r="Q33" s="365">
        <v>850319</v>
      </c>
      <c r="R33" s="363">
        <f t="shared" si="8"/>
        <v>4.0546043116250834</v>
      </c>
      <c r="S33" s="363">
        <f t="shared" si="9"/>
        <v>4.0552305300297009</v>
      </c>
      <c r="T33" s="363">
        <f t="shared" si="10"/>
        <v>3.7173844617735283</v>
      </c>
      <c r="U33" s="363">
        <f t="shared" si="11"/>
        <v>3.4988733039719881</v>
      </c>
      <c r="V33" s="363">
        <f t="shared" si="12"/>
        <v>3.5859401303448606</v>
      </c>
      <c r="W33" s="363">
        <f t="shared" si="13"/>
        <v>3.7610447107622291</v>
      </c>
      <c r="X33" s="363">
        <f t="shared" si="14"/>
        <v>4.3663613302772255</v>
      </c>
    </row>
    <row r="34" spans="1:24" ht="15.75">
      <c r="A34" s="353">
        <v>16</v>
      </c>
      <c r="B34" s="354" t="s">
        <v>39</v>
      </c>
      <c r="C34" s="354">
        <v>181094</v>
      </c>
      <c r="D34" s="352">
        <f ca="1">+'Aggregate Resources'!C35</f>
        <v>25249.019999999997</v>
      </c>
      <c r="E34" s="352">
        <f ca="1">+'Aggregate Resources'!D35</f>
        <v>34798.050000000003</v>
      </c>
      <c r="F34" s="352">
        <f ca="1">+'Aggregate Resources'!E35</f>
        <v>33591.229999999996</v>
      </c>
      <c r="G34" s="352">
        <f ca="1">+'Aggregate Resources'!F35</f>
        <v>38432.130000000005</v>
      </c>
      <c r="H34" s="352">
        <f ca="1">+'Aggregate Resources'!G35</f>
        <v>44215.49</v>
      </c>
      <c r="I34" s="352">
        <f ca="1">+'Aggregate Resources'!H35</f>
        <v>55364.329999999994</v>
      </c>
      <c r="J34" s="352">
        <f ca="1">+'Aggregate Resources'!I35</f>
        <v>69200</v>
      </c>
      <c r="K34" s="352">
        <v>383026</v>
      </c>
      <c r="L34" s="352">
        <v>444685</v>
      </c>
      <c r="M34" s="352">
        <v>523394</v>
      </c>
      <c r="N34" s="352">
        <v>600164</v>
      </c>
      <c r="O34" s="352">
        <v>679007</v>
      </c>
      <c r="P34" s="364">
        <v>768930</v>
      </c>
      <c r="Q34" s="365">
        <v>886410</v>
      </c>
      <c r="R34" s="363">
        <f t="shared" si="8"/>
        <v>6.5919859226266615</v>
      </c>
      <c r="S34" s="363">
        <f t="shared" si="9"/>
        <v>7.8253257924148558</v>
      </c>
      <c r="T34" s="363">
        <f t="shared" si="10"/>
        <v>6.417962376335991</v>
      </c>
      <c r="U34" s="363">
        <f t="shared" si="11"/>
        <v>6.4036046813870886</v>
      </c>
      <c r="V34" s="363">
        <f t="shared" si="12"/>
        <v>6.5117870655236247</v>
      </c>
      <c r="W34" s="363">
        <f t="shared" si="13"/>
        <v>7.2001781696643379</v>
      </c>
      <c r="X34" s="363">
        <f t="shared" si="14"/>
        <v>7.8067711329971461</v>
      </c>
    </row>
    <row r="35" spans="1:24" ht="15.75">
      <c r="A35" s="353">
        <v>17</v>
      </c>
      <c r="B35" s="354" t="s">
        <v>40</v>
      </c>
      <c r="C35" s="354">
        <v>63779</v>
      </c>
      <c r="D35" s="352">
        <f ca="1">+'Aggregate Resources'!C36</f>
        <v>7355.0599999999995</v>
      </c>
      <c r="E35" s="352">
        <f ca="1">+'Aggregate Resources'!D36</f>
        <v>8752.529999999997</v>
      </c>
      <c r="F35" s="352">
        <f ca="1">+'Aggregate Resources'!E36</f>
        <v>12223.129999999997</v>
      </c>
      <c r="G35" s="352">
        <f ca="1">+'Aggregate Resources'!F36</f>
        <v>12647.47</v>
      </c>
      <c r="H35" s="352">
        <f ca="1">+'Aggregate Resources'!G36</f>
        <v>22214</v>
      </c>
      <c r="I35" s="352">
        <f ca="1">+'Aggregate Resources'!H36</f>
        <v>23605.14</v>
      </c>
      <c r="J35" s="352">
        <f ca="1">+'Aggregate Resources'!I36</f>
        <v>30313.999999999996</v>
      </c>
      <c r="K35" s="352">
        <v>299483</v>
      </c>
      <c r="L35" s="352">
        <v>341942</v>
      </c>
      <c r="M35" s="352">
        <v>398880</v>
      </c>
      <c r="N35" s="352">
        <v>460959</v>
      </c>
      <c r="O35" s="352">
        <v>538209</v>
      </c>
      <c r="P35" s="364">
        <v>620160</v>
      </c>
      <c r="Q35" s="365">
        <v>707848</v>
      </c>
      <c r="R35" s="363">
        <f t="shared" si="8"/>
        <v>2.4559190338015844</v>
      </c>
      <c r="S35" s="363">
        <f t="shared" si="9"/>
        <v>2.5596533915108401</v>
      </c>
      <c r="T35" s="363">
        <f t="shared" si="10"/>
        <v>3.0643627156036897</v>
      </c>
      <c r="U35" s="363">
        <f t="shared" si="11"/>
        <v>2.7437299195807001</v>
      </c>
      <c r="V35" s="363">
        <f t="shared" si="12"/>
        <v>4.1273928901226098</v>
      </c>
      <c r="W35" s="363">
        <f t="shared" si="13"/>
        <v>3.8062983746130028</v>
      </c>
      <c r="X35" s="363">
        <f t="shared" si="14"/>
        <v>4.2825578372757986</v>
      </c>
    </row>
    <row r="36" spans="1:24" s="356" customFormat="1">
      <c r="A36" s="350"/>
      <c r="B36" s="351" t="s">
        <v>192</v>
      </c>
      <c r="C36" s="366">
        <f>SUM(C19:C35)</f>
        <v>1255341</v>
      </c>
      <c r="D36" s="355">
        <f ca="1">+'Aggregate Resources'!C37</f>
        <v>199782.37229999996</v>
      </c>
      <c r="E36" s="355">
        <f ca="1">+'Aggregate Resources'!D37</f>
        <v>248718.78244130002</v>
      </c>
      <c r="F36" s="355">
        <f ca="1">+'Aggregate Resources'!E37</f>
        <v>281464.85603959096</v>
      </c>
      <c r="G36" s="355">
        <f ca="1">+'Aggregate Resources'!F37</f>
        <v>321018.846640362</v>
      </c>
      <c r="H36" s="355">
        <f ca="1">+'Aggregate Resources'!G37</f>
        <v>404088.73000000004</v>
      </c>
      <c r="I36" s="355">
        <f ca="1">+'Aggregate Resources'!H37</f>
        <v>480896.47</v>
      </c>
      <c r="J36" s="355">
        <f ca="1">+'Aggregate Resources'!I37</f>
        <v>614604</v>
      </c>
      <c r="K36" s="355">
        <f t="shared" ref="K36:Q36" si="15">SUM(K19:K35)</f>
        <v>3944879</v>
      </c>
      <c r="L36" s="355">
        <f t="shared" si="15"/>
        <v>4535440</v>
      </c>
      <c r="M36" s="355">
        <f t="shared" si="15"/>
        <v>5204876</v>
      </c>
      <c r="N36" s="355">
        <f t="shared" si="15"/>
        <v>6231556</v>
      </c>
      <c r="O36" s="355">
        <f t="shared" si="15"/>
        <v>7154201</v>
      </c>
      <c r="P36" s="367">
        <f t="shared" si="15"/>
        <v>8190822</v>
      </c>
      <c r="Q36" s="367">
        <f t="shared" si="15"/>
        <v>9397731.1855269298</v>
      </c>
      <c r="R36" s="366">
        <f t="shared" si="8"/>
        <v>5.0643472790927166</v>
      </c>
      <c r="S36" s="366">
        <f t="shared" si="9"/>
        <v>5.4838953319038506</v>
      </c>
      <c r="T36" s="366">
        <f t="shared" si="10"/>
        <v>5.4077149203860175</v>
      </c>
      <c r="U36" s="366">
        <f t="shared" si="11"/>
        <v>5.1515038401381936</v>
      </c>
      <c r="V36" s="366">
        <f t="shared" si="12"/>
        <v>5.6482719733482467</v>
      </c>
      <c r="W36" s="366">
        <f t="shared" si="13"/>
        <v>5.8711625035924353</v>
      </c>
      <c r="X36" s="366">
        <f t="shared" si="14"/>
        <v>6.5399189215640376</v>
      </c>
    </row>
    <row r="37" spans="1:24" s="356" customFormat="1">
      <c r="A37" s="350"/>
      <c r="B37" s="351" t="s">
        <v>243</v>
      </c>
      <c r="C37" s="366">
        <f>C36+C17</f>
        <v>1412029</v>
      </c>
      <c r="D37" s="355">
        <f ca="1">+'Aggregate Resources'!C38</f>
        <v>223508.01229071763</v>
      </c>
      <c r="E37" s="355">
        <f ca="1">+'Aggregate Resources'!D38</f>
        <v>276499.39335776516</v>
      </c>
      <c r="F37" s="355">
        <f ca="1">+'Aggregate Resources'!E38</f>
        <v>311252.62403959094</v>
      </c>
      <c r="G37" s="355">
        <f ca="1">+'Aggregate Resources'!F38</f>
        <v>355262.78324036201</v>
      </c>
      <c r="H37" s="355">
        <f ca="1">+'Aggregate Resources'!G38</f>
        <v>441474.50000000006</v>
      </c>
      <c r="I37" s="355">
        <f ca="1">+'Aggregate Resources'!H38</f>
        <v>524611.74</v>
      </c>
      <c r="J37" s="355">
        <f ca="1">+'Aggregate Resources'!I38</f>
        <v>667565</v>
      </c>
      <c r="K37" s="355">
        <f t="shared" ref="K37:Q37" si="16">K36+K17</f>
        <v>4180395</v>
      </c>
      <c r="L37" s="355">
        <f t="shared" si="16"/>
        <v>4811855</v>
      </c>
      <c r="M37" s="355">
        <f t="shared" si="16"/>
        <v>5533915</v>
      </c>
      <c r="N37" s="355">
        <f t="shared" si="16"/>
        <v>6619898</v>
      </c>
      <c r="O37" s="355">
        <f t="shared" si="16"/>
        <v>7595967</v>
      </c>
      <c r="P37" s="367">
        <f t="shared" si="16"/>
        <v>8694591</v>
      </c>
      <c r="Q37" s="367">
        <f t="shared" si="16"/>
        <v>9977709.8965763748</v>
      </c>
      <c r="R37" s="366">
        <f t="shared" si="8"/>
        <v>5.3465763950707439</v>
      </c>
      <c r="S37" s="366">
        <f t="shared" si="9"/>
        <v>5.7462120815728071</v>
      </c>
      <c r="T37" s="366">
        <f t="shared" si="10"/>
        <v>5.6244561768583532</v>
      </c>
      <c r="U37" s="366">
        <f t="shared" si="11"/>
        <v>5.3665899873436427</v>
      </c>
      <c r="V37" s="366">
        <f t="shared" si="12"/>
        <v>5.8119591620132107</v>
      </c>
      <c r="W37" s="366">
        <f t="shared" si="13"/>
        <v>6.0337713412856333</v>
      </c>
      <c r="X37" s="366">
        <f t="shared" si="14"/>
        <v>6.6905633348696565</v>
      </c>
    </row>
    <row r="38" spans="1:24" s="356" customFormat="1" ht="15.75">
      <c r="A38" s="350" t="s">
        <v>231</v>
      </c>
      <c r="B38" s="351" t="s">
        <v>244</v>
      </c>
      <c r="C38" s="366"/>
      <c r="D38" s="352"/>
      <c r="E38" s="352"/>
      <c r="F38" s="352"/>
      <c r="G38" s="352"/>
      <c r="H38" s="352"/>
      <c r="I38" s="352"/>
      <c r="J38" s="352"/>
      <c r="K38" s="355"/>
      <c r="L38" s="355"/>
      <c r="M38" s="355"/>
      <c r="N38" s="355"/>
      <c r="O38" s="355"/>
      <c r="P38" s="367"/>
      <c r="Q38" s="365">
        <v>404576</v>
      </c>
      <c r="R38" s="366"/>
      <c r="S38" s="366"/>
      <c r="T38" s="366"/>
      <c r="U38" s="366"/>
      <c r="V38" s="366"/>
      <c r="W38" s="366"/>
      <c r="X38" s="363">
        <f>J38/Q38*100</f>
        <v>0</v>
      </c>
    </row>
    <row r="39" spans="1:24" ht="15" customHeight="1">
      <c r="A39" s="353">
        <v>1</v>
      </c>
      <c r="B39" s="354" t="s">
        <v>233</v>
      </c>
      <c r="C39" s="371">
        <v>54799</v>
      </c>
      <c r="D39" s="352">
        <f ca="1">+'Aggregate Resources'!C40</f>
        <v>8747.427099999999</v>
      </c>
      <c r="E39" s="352">
        <f ca="1">+'Aggregate Resources'!D40</f>
        <v>9619.5153000000009</v>
      </c>
      <c r="F39" s="352">
        <f ca="1">+'Aggregate Resources'!E40</f>
        <v>11048.1445</v>
      </c>
      <c r="G39" s="352">
        <f ca="1">+'Aggregate Resources'!F40</f>
        <v>11400</v>
      </c>
      <c r="H39" s="352">
        <f ca="1">+'Aggregate Resources'!G40</f>
        <v>18110.310000000001</v>
      </c>
      <c r="I39" s="352">
        <f ca="1">+'Aggregate Resources'!H40</f>
        <v>16742.349999999999</v>
      </c>
      <c r="J39" s="352">
        <f ca="1">+'Aggregate Resources'!I40</f>
        <v>16626</v>
      </c>
      <c r="K39" s="352">
        <v>157947</v>
      </c>
      <c r="L39" s="352">
        <v>189533</v>
      </c>
      <c r="M39" s="352">
        <v>217619</v>
      </c>
      <c r="N39" s="352">
        <v>252753</v>
      </c>
      <c r="O39" s="352">
        <v>296957</v>
      </c>
      <c r="P39" s="364">
        <v>348221</v>
      </c>
      <c r="Q39" s="365">
        <v>21500</v>
      </c>
      <c r="R39" s="363">
        <f t="shared" ref="R39:W42" si="17">D39/K39*100</f>
        <v>5.53820401780344</v>
      </c>
      <c r="S39" s="363">
        <f t="shared" si="17"/>
        <v>5.0753775332000233</v>
      </c>
      <c r="T39" s="363">
        <f t="shared" si="17"/>
        <v>5.0768289993061266</v>
      </c>
      <c r="U39" s="363">
        <f t="shared" si="17"/>
        <v>4.5103322215760047</v>
      </c>
      <c r="V39" s="363">
        <f t="shared" si="17"/>
        <v>6.0986304414443842</v>
      </c>
      <c r="W39" s="363">
        <f t="shared" si="17"/>
        <v>4.8079667797174777</v>
      </c>
      <c r="X39" s="363">
        <f>J39/Q39*100</f>
        <v>77.330232558139528</v>
      </c>
    </row>
    <row r="40" spans="1:24" ht="15.75" customHeight="1">
      <c r="A40" s="353">
        <v>2</v>
      </c>
      <c r="B40" s="354" t="s">
        <v>44</v>
      </c>
      <c r="C40" s="371">
        <v>10787</v>
      </c>
      <c r="D40" s="352">
        <f ca="1">+'Aggregate Resources'!C41</f>
        <v>1086.7253000000001</v>
      </c>
      <c r="E40" s="352">
        <f ca="1">+'Aggregate Resources'!D41</f>
        <v>1060.7583999999999</v>
      </c>
      <c r="F40" s="352">
        <f ca="1">+'Aggregate Resources'!E41</f>
        <v>1449.9279999999999</v>
      </c>
      <c r="G40" s="352">
        <f ca="1">+'Aggregate Resources'!F41</f>
        <v>1562.5</v>
      </c>
      <c r="H40" s="352">
        <f ca="1">+'Aggregate Resources'!G41</f>
        <v>2750</v>
      </c>
      <c r="I40" s="352">
        <f ca="1">+'Aggregate Resources'!H41</f>
        <v>1392</v>
      </c>
      <c r="J40" s="352">
        <f ca="1">+'Aggregate Resources'!I41</f>
        <v>2000</v>
      </c>
      <c r="K40" s="352">
        <v>9251</v>
      </c>
      <c r="L40" s="352">
        <v>10050</v>
      </c>
      <c r="M40" s="352">
        <v>12304</v>
      </c>
      <c r="N40" s="352">
        <v>13092</v>
      </c>
      <c r="O40" s="352">
        <v>14630</v>
      </c>
      <c r="P40" s="364">
        <v>17192</v>
      </c>
      <c r="Q40" s="364">
        <v>21500</v>
      </c>
      <c r="R40" s="363">
        <f t="shared" si="17"/>
        <v>11.747111663603937</v>
      </c>
      <c r="S40" s="363">
        <f t="shared" si="17"/>
        <v>10.554809950248757</v>
      </c>
      <c r="T40" s="363">
        <f t="shared" si="17"/>
        <v>11.784200260078022</v>
      </c>
      <c r="U40" s="363">
        <f t="shared" si="17"/>
        <v>11.934769324778491</v>
      </c>
      <c r="V40" s="363">
        <f t="shared" si="17"/>
        <v>18.796992481203006</v>
      </c>
      <c r="W40" s="363">
        <f t="shared" si="17"/>
        <v>8.0967892042810607</v>
      </c>
      <c r="X40" s="363">
        <f>J40/Q40*100</f>
        <v>9.3023255813953494</v>
      </c>
    </row>
    <row r="41" spans="1:24" s="356" customFormat="1">
      <c r="A41" s="357"/>
      <c r="B41" s="358" t="s">
        <v>234</v>
      </c>
      <c r="C41" s="366">
        <f>C39+C40</f>
        <v>65586</v>
      </c>
      <c r="D41" s="355">
        <f ca="1">+'Aggregate Resources'!C42</f>
        <v>9834.152399999999</v>
      </c>
      <c r="E41" s="355">
        <f ca="1">+'Aggregate Resources'!D42</f>
        <v>10680.273700000002</v>
      </c>
      <c r="F41" s="355">
        <f ca="1">+'Aggregate Resources'!E42</f>
        <v>12498.0725</v>
      </c>
      <c r="G41" s="355">
        <f ca="1">+'Aggregate Resources'!F42</f>
        <v>12962.5</v>
      </c>
      <c r="H41" s="355">
        <f ca="1">+'Aggregate Resources'!G42</f>
        <v>20860.310000000001</v>
      </c>
      <c r="I41" s="355">
        <f ca="1">+'Aggregate Resources'!H42</f>
        <v>18134.349999999999</v>
      </c>
      <c r="J41" s="355">
        <f ca="1">+'Aggregate Resources'!I42</f>
        <v>18626</v>
      </c>
      <c r="K41" s="355">
        <f t="shared" ref="K41:Q41" si="18">K39+K40</f>
        <v>167198</v>
      </c>
      <c r="L41" s="355">
        <f t="shared" si="18"/>
        <v>199583</v>
      </c>
      <c r="M41" s="355">
        <f t="shared" si="18"/>
        <v>229923</v>
      </c>
      <c r="N41" s="355">
        <f t="shared" si="18"/>
        <v>265845</v>
      </c>
      <c r="O41" s="355">
        <f t="shared" si="18"/>
        <v>311587</v>
      </c>
      <c r="P41" s="367">
        <f t="shared" si="18"/>
        <v>365413</v>
      </c>
      <c r="Q41" s="367">
        <f t="shared" si="18"/>
        <v>43000</v>
      </c>
      <c r="R41" s="366">
        <f t="shared" si="17"/>
        <v>5.8817404514408063</v>
      </c>
      <c r="S41" s="366">
        <f t="shared" si="17"/>
        <v>5.3512942986126077</v>
      </c>
      <c r="T41" s="366">
        <f t="shared" si="17"/>
        <v>5.4357643645916243</v>
      </c>
      <c r="U41" s="366">
        <f t="shared" si="17"/>
        <v>4.8759615565461081</v>
      </c>
      <c r="V41" s="366">
        <f t="shared" si="17"/>
        <v>6.6948588997615435</v>
      </c>
      <c r="W41" s="366">
        <f t="shared" si="17"/>
        <v>4.9626997397465331</v>
      </c>
      <c r="X41" s="366">
        <f>J41/Q41*100</f>
        <v>43.316279069767447</v>
      </c>
    </row>
    <row r="42" spans="1:24" s="356" customFormat="1" ht="31.5" customHeight="1">
      <c r="A42" s="534" t="s">
        <v>235</v>
      </c>
      <c r="B42" s="535"/>
      <c r="C42" s="366">
        <f>C36+C17+C41</f>
        <v>1477615</v>
      </c>
      <c r="D42" s="355">
        <f ca="1">+'Aggregate Resources'!C43</f>
        <v>233342.16469071762</v>
      </c>
      <c r="E42" s="355">
        <f ca="1">+'Aggregate Resources'!D43</f>
        <v>287179.66705776518</v>
      </c>
      <c r="F42" s="355">
        <f ca="1">+'Aggregate Resources'!E43</f>
        <v>323750.69653959095</v>
      </c>
      <c r="G42" s="355">
        <f ca="1">+'Aggregate Resources'!F43</f>
        <v>368225.28324036201</v>
      </c>
      <c r="H42" s="355">
        <f ca="1">+'Aggregate Resources'!G43</f>
        <v>462334.81000000006</v>
      </c>
      <c r="I42" s="355">
        <f ca="1">+'Aggregate Resources'!H43</f>
        <v>542746.09</v>
      </c>
      <c r="J42" s="355">
        <f ca="1">+'Aggregate Resources'!I43</f>
        <v>686191</v>
      </c>
      <c r="K42" s="355">
        <f t="shared" ref="K42:Q42" si="19">K36+K17+K41</f>
        <v>4347593</v>
      </c>
      <c r="L42" s="355">
        <f t="shared" si="19"/>
        <v>5011438</v>
      </c>
      <c r="M42" s="355">
        <f t="shared" si="19"/>
        <v>5763838</v>
      </c>
      <c r="N42" s="355">
        <f t="shared" si="19"/>
        <v>6885743</v>
      </c>
      <c r="O42" s="355">
        <f t="shared" si="19"/>
        <v>7907554</v>
      </c>
      <c r="P42" s="367">
        <f t="shared" si="19"/>
        <v>9060004</v>
      </c>
      <c r="Q42" s="367">
        <f t="shared" si="19"/>
        <v>10020709.896576375</v>
      </c>
      <c r="R42" s="366">
        <f t="shared" si="17"/>
        <v>5.367157521201217</v>
      </c>
      <c r="S42" s="366">
        <f t="shared" si="17"/>
        <v>5.7304842853042413</v>
      </c>
      <c r="T42" s="366">
        <f t="shared" si="17"/>
        <v>5.6169291458155302</v>
      </c>
      <c r="U42" s="366">
        <f t="shared" si="17"/>
        <v>5.3476477881960163</v>
      </c>
      <c r="V42" s="366">
        <f t="shared" si="17"/>
        <v>5.846748691188199</v>
      </c>
      <c r="W42" s="366">
        <f t="shared" si="17"/>
        <v>5.9905722999680791</v>
      </c>
      <c r="X42" s="366">
        <f>J42/Q42*100</f>
        <v>6.8477284252529911</v>
      </c>
    </row>
    <row r="43" spans="1:24" ht="18" customHeight="1">
      <c r="B43" s="536" t="s">
        <v>245</v>
      </c>
      <c r="C43" s="536"/>
      <c r="D43" s="536"/>
      <c r="E43" s="536"/>
      <c r="F43" s="536"/>
      <c r="G43" s="536"/>
      <c r="H43" s="536"/>
      <c r="I43" s="372"/>
      <c r="J43" s="372"/>
      <c r="K43" s="373"/>
      <c r="L43" s="373"/>
      <c r="M43" s="373"/>
      <c r="N43" s="373"/>
      <c r="O43" s="373"/>
      <c r="P43" s="373"/>
      <c r="Q43" s="373"/>
    </row>
    <row r="44" spans="1:24">
      <c r="K44" s="373"/>
    </row>
    <row r="45" spans="1:24">
      <c r="M45" s="373"/>
    </row>
    <row r="47" spans="1:24">
      <c r="L47" s="373"/>
    </row>
  </sheetData>
  <mergeCells count="8">
    <mergeCell ref="A1:X1"/>
    <mergeCell ref="A42:B42"/>
    <mergeCell ref="B43:H43"/>
    <mergeCell ref="A2:A3"/>
    <mergeCell ref="B2:B3"/>
    <mergeCell ref="D2:J2"/>
    <mergeCell ref="R2:X2"/>
    <mergeCell ref="K2:Q2"/>
  </mergeCells>
  <phoneticPr fontId="42" type="noConversion"/>
  <printOptions horizontalCentered="1"/>
  <pageMargins left="0.23622047244094499" right="0.27559055118110198" top="0.78740157480314998" bottom="0.78740157480314998" header="0.511811023622047" footer="0.511811023622047"/>
  <pageSetup paperSize="9" scale="50" orientation="landscape" horizontalDpi="4294967295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P46"/>
  <sheetViews>
    <sheetView view="pageBreakPreview" zoomScaleNormal="100" workbookViewId="0">
      <pane xSplit="2" ySplit="4" topLeftCell="C5" activePane="bottomRight" state="frozen"/>
      <selection activeCell="J4" sqref="J4:P5"/>
      <selection pane="topRight" activeCell="J4" sqref="J4:P5"/>
      <selection pane="bottomLeft" activeCell="J4" sqref="J4:P5"/>
      <selection pane="bottomRight" activeCell="A2" sqref="A2:A4"/>
    </sheetView>
  </sheetViews>
  <sheetFormatPr defaultRowHeight="15"/>
  <cols>
    <col min="1" max="1" width="5.28515625" style="400" customWidth="1"/>
    <col min="2" max="2" width="33.5703125" style="296" bestFit="1" customWidth="1"/>
    <col min="3" max="16" width="12.140625" style="296" customWidth="1"/>
    <col min="17" max="16384" width="9.140625" style="296"/>
  </cols>
  <sheetData>
    <row r="1" spans="1:16" ht="27.75" customHeight="1">
      <c r="A1" s="540" t="s">
        <v>316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32" t="s">
        <v>84</v>
      </c>
      <c r="P1" s="532"/>
    </row>
    <row r="2" spans="1:16" ht="15.75" customHeight="1">
      <c r="A2" s="541" t="s">
        <v>71</v>
      </c>
      <c r="B2" s="543" t="s">
        <v>85</v>
      </c>
      <c r="C2" s="544" t="s">
        <v>246</v>
      </c>
      <c r="D2" s="544"/>
      <c r="E2" s="544"/>
      <c r="F2" s="544"/>
      <c r="G2" s="544"/>
      <c r="H2" s="544"/>
      <c r="I2" s="544"/>
      <c r="J2" s="544" t="s">
        <v>247</v>
      </c>
      <c r="K2" s="544"/>
      <c r="L2" s="544"/>
      <c r="M2" s="544"/>
      <c r="N2" s="544"/>
      <c r="O2" s="544"/>
      <c r="P2" s="544"/>
    </row>
    <row r="3" spans="1:16">
      <c r="A3" s="542"/>
      <c r="B3" s="543"/>
      <c r="C3" s="377" t="s">
        <v>48</v>
      </c>
      <c r="D3" s="377" t="s">
        <v>49</v>
      </c>
      <c r="E3" s="377" t="s">
        <v>5</v>
      </c>
      <c r="F3" s="377" t="s">
        <v>6</v>
      </c>
      <c r="G3" s="377" t="s">
        <v>7</v>
      </c>
      <c r="H3" s="377" t="s">
        <v>122</v>
      </c>
      <c r="I3" s="377" t="s">
        <v>139</v>
      </c>
      <c r="J3" s="377" t="s">
        <v>48</v>
      </c>
      <c r="K3" s="377" t="s">
        <v>49</v>
      </c>
      <c r="L3" s="377" t="s">
        <v>5</v>
      </c>
      <c r="M3" s="377" t="s">
        <v>6</v>
      </c>
      <c r="N3" s="377" t="s">
        <v>7</v>
      </c>
      <c r="O3" s="377" t="s">
        <v>122</v>
      </c>
      <c r="P3" s="377" t="s">
        <v>139</v>
      </c>
    </row>
    <row r="4" spans="1:16">
      <c r="A4" s="542"/>
      <c r="B4" s="543"/>
      <c r="C4" s="377" t="s">
        <v>8</v>
      </c>
      <c r="D4" s="377" t="s">
        <v>8</v>
      </c>
      <c r="E4" s="377" t="s">
        <v>8</v>
      </c>
      <c r="F4" s="377" t="s">
        <v>8</v>
      </c>
      <c r="G4" s="377" t="s">
        <v>8</v>
      </c>
      <c r="H4" s="377" t="s">
        <v>224</v>
      </c>
      <c r="I4" s="377" t="s">
        <v>225</v>
      </c>
      <c r="J4" s="377" t="s">
        <v>8</v>
      </c>
      <c r="K4" s="377" t="s">
        <v>8</v>
      </c>
      <c r="L4" s="377" t="s">
        <v>8</v>
      </c>
      <c r="M4" s="377" t="s">
        <v>8</v>
      </c>
      <c r="N4" s="377" t="s">
        <v>8</v>
      </c>
      <c r="O4" s="377" t="s">
        <v>224</v>
      </c>
      <c r="P4" s="377" t="s">
        <v>225</v>
      </c>
    </row>
    <row r="5" spans="1:16" ht="15.75">
      <c r="A5" s="378" t="s">
        <v>226</v>
      </c>
      <c r="B5" s="379" t="s">
        <v>227</v>
      </c>
      <c r="C5" s="380"/>
      <c r="D5" s="380"/>
      <c r="E5" s="380"/>
      <c r="F5" s="381"/>
      <c r="G5" s="380"/>
      <c r="H5" s="380"/>
      <c r="I5" s="380"/>
      <c r="J5" s="380"/>
      <c r="K5" s="380"/>
      <c r="L5" s="380"/>
      <c r="M5" s="380"/>
      <c r="N5" s="380"/>
      <c r="O5" s="380"/>
      <c r="P5" s="380"/>
    </row>
    <row r="6" spans="1:16" ht="15.75">
      <c r="A6" s="382">
        <v>1</v>
      </c>
      <c r="B6" s="383" t="s">
        <v>12</v>
      </c>
      <c r="C6" s="380">
        <v>75.490000000000236</v>
      </c>
      <c r="D6" s="380">
        <v>-66.510000000000005</v>
      </c>
      <c r="E6" s="380">
        <v>-931.75</v>
      </c>
      <c r="F6" s="380">
        <v>-300.36</v>
      </c>
      <c r="G6" s="380">
        <v>-749.87</v>
      </c>
      <c r="H6" s="380">
        <v>-497.67</v>
      </c>
      <c r="I6" s="380">
        <v>-100.68</v>
      </c>
      <c r="J6" s="380">
        <f t="shared" ref="J6:P6" si="0">+C6/C$45</f>
        <v>71.381292787170693</v>
      </c>
      <c r="K6" s="380">
        <f t="shared" si="0"/>
        <v>-57.875043508527675</v>
      </c>
      <c r="L6" s="380">
        <f t="shared" si="0"/>
        <v>-764.43128117616175</v>
      </c>
      <c r="M6" s="380">
        <f t="shared" si="0"/>
        <v>-226.10999864496608</v>
      </c>
      <c r="N6" s="380">
        <f t="shared" si="0"/>
        <v>-520.08572498647538</v>
      </c>
      <c r="O6" s="380">
        <f t="shared" si="0"/>
        <v>-322.06647511066245</v>
      </c>
      <c r="P6" s="380">
        <f t="shared" si="0"/>
        <v>-60.940989897644805</v>
      </c>
    </row>
    <row r="7" spans="1:16" ht="15.75">
      <c r="A7" s="382">
        <v>2</v>
      </c>
      <c r="B7" s="383" t="s">
        <v>13</v>
      </c>
      <c r="C7" s="380">
        <v>331.05999999999767</v>
      </c>
      <c r="D7" s="380">
        <v>1241.58</v>
      </c>
      <c r="E7" s="380">
        <v>-1588.59</v>
      </c>
      <c r="F7" s="380">
        <v>-3609.6399999999994</v>
      </c>
      <c r="G7" s="380">
        <v>-3400.3705680000021</v>
      </c>
      <c r="H7" s="380">
        <v>-2694.53</v>
      </c>
      <c r="I7" s="380">
        <v>-2082.38</v>
      </c>
      <c r="J7" s="380">
        <f t="shared" ref="J7:J16" si="1">+C7/C$45</f>
        <v>313.04134044403878</v>
      </c>
      <c r="K7" s="380">
        <f t="shared" ref="K7:K16" si="2">+D7/D$45</f>
        <v>1080.3863557257221</v>
      </c>
      <c r="L7" s="380">
        <f t="shared" ref="L7:L16" si="3">+E7/E$45</f>
        <v>-1303.3194407981098</v>
      </c>
      <c r="M7" s="380">
        <f t="shared" ref="M7:M16" si="4">+F7/F$45</f>
        <v>-2717.3248618618163</v>
      </c>
      <c r="N7" s="380">
        <f t="shared" ref="N7:N16" si="5">+G7/G$45</f>
        <v>-2358.3877099776682</v>
      </c>
      <c r="O7" s="380">
        <f t="shared" ref="O7:O16" si="6">+H7/H$45</f>
        <v>-1743.7614868887683</v>
      </c>
      <c r="P7" s="380">
        <f t="shared" ref="P7:P16" si="7">+H7/H$45</f>
        <v>-1743.7614868887683</v>
      </c>
    </row>
    <row r="8" spans="1:16" ht="15.75">
      <c r="A8" s="382">
        <v>3</v>
      </c>
      <c r="B8" s="383" t="s">
        <v>14</v>
      </c>
      <c r="C8" s="380">
        <v>-170.99</v>
      </c>
      <c r="D8" s="380">
        <v>-1476.82</v>
      </c>
      <c r="E8" s="380">
        <v>-1960.46</v>
      </c>
      <c r="F8" s="381">
        <v>-1945.76</v>
      </c>
      <c r="G8" s="380">
        <v>-2442.8000000000002</v>
      </c>
      <c r="H8" s="380">
        <v>-2798.11</v>
      </c>
      <c r="I8" s="380">
        <v>-3170.56</v>
      </c>
      <c r="J8" s="380">
        <f t="shared" si="1"/>
        <v>-161.68349786300541</v>
      </c>
      <c r="K8" s="380">
        <f t="shared" si="2"/>
        <v>-1285.085276714236</v>
      </c>
      <c r="L8" s="380">
        <f t="shared" si="3"/>
        <v>-1608.4110002625362</v>
      </c>
      <c r="M8" s="380">
        <f t="shared" si="4"/>
        <v>-1464.7615893042655</v>
      </c>
      <c r="N8" s="380">
        <f t="shared" si="5"/>
        <v>-1694.2475482376442</v>
      </c>
      <c r="O8" s="380">
        <f t="shared" si="6"/>
        <v>-1810.7931454013617</v>
      </c>
      <c r="P8" s="380">
        <f t="shared" si="7"/>
        <v>-1810.7931454013617</v>
      </c>
    </row>
    <row r="9" spans="1:16" ht="15.75">
      <c r="A9" s="382">
        <v>4</v>
      </c>
      <c r="B9" s="383" t="s">
        <v>228</v>
      </c>
      <c r="C9" s="380">
        <v>-3544.29</v>
      </c>
      <c r="D9" s="380">
        <v>-2982.65</v>
      </c>
      <c r="E9" s="380">
        <v>-5542.17</v>
      </c>
      <c r="F9" s="381">
        <v>-4055.7900000000009</v>
      </c>
      <c r="G9" s="380">
        <v>-8420.2699999999968</v>
      </c>
      <c r="H9" s="380">
        <v>-7112.3</v>
      </c>
      <c r="I9" s="380">
        <v>-6939.34</v>
      </c>
      <c r="J9" s="380">
        <f t="shared" si="1"/>
        <v>-3351.3843186202198</v>
      </c>
      <c r="K9" s="380">
        <f t="shared" si="2"/>
        <v>-2595.4142011834319</v>
      </c>
      <c r="L9" s="380">
        <f t="shared" si="3"/>
        <v>-4546.9365318981363</v>
      </c>
      <c r="M9" s="380">
        <f t="shared" si="4"/>
        <v>-3053.1850825817924</v>
      </c>
      <c r="N9" s="380">
        <f t="shared" si="5"/>
        <v>-5840.0285749954892</v>
      </c>
      <c r="O9" s="380">
        <f t="shared" si="6"/>
        <v>-4602.7154357899099</v>
      </c>
      <c r="P9" s="380">
        <f t="shared" si="7"/>
        <v>-4602.7154357899099</v>
      </c>
    </row>
    <row r="10" spans="1:16" ht="15.75">
      <c r="A10" s="382">
        <v>5</v>
      </c>
      <c r="B10" s="383" t="s">
        <v>16</v>
      </c>
      <c r="C10" s="380">
        <v>17.7800000000002</v>
      </c>
      <c r="D10" s="380">
        <v>-119.19</v>
      </c>
      <c r="E10" s="380">
        <v>-276.63</v>
      </c>
      <c r="F10" s="381">
        <v>-181.69000000000051</v>
      </c>
      <c r="G10" s="380">
        <v>-868.50139998866143</v>
      </c>
      <c r="H10" s="380">
        <v>-775.69</v>
      </c>
      <c r="I10" s="380">
        <v>-737.79</v>
      </c>
      <c r="J10" s="380">
        <f t="shared" si="1"/>
        <v>16.812284882181814</v>
      </c>
      <c r="K10" s="380">
        <f t="shared" si="2"/>
        <v>-103.71562826313958</v>
      </c>
      <c r="L10" s="380">
        <f t="shared" si="3"/>
        <v>-226.95425308479918</v>
      </c>
      <c r="M10" s="380">
        <f t="shared" si="4"/>
        <v>-136.77562143362633</v>
      </c>
      <c r="N10" s="380">
        <f t="shared" si="5"/>
        <v>-602.36465022586822</v>
      </c>
      <c r="O10" s="380">
        <f t="shared" si="6"/>
        <v>-501.986746395382</v>
      </c>
      <c r="P10" s="380">
        <f t="shared" si="7"/>
        <v>-501.986746395382</v>
      </c>
    </row>
    <row r="11" spans="1:16" ht="15.75">
      <c r="A11" s="382">
        <v>6</v>
      </c>
      <c r="B11" s="383" t="s">
        <v>17</v>
      </c>
      <c r="C11" s="380">
        <v>8.7400000000000091</v>
      </c>
      <c r="D11" s="380">
        <v>-65.629999999999882</v>
      </c>
      <c r="E11" s="380">
        <v>-433.04</v>
      </c>
      <c r="F11" s="381">
        <v>-142.79</v>
      </c>
      <c r="G11" s="380">
        <v>-233.85</v>
      </c>
      <c r="H11" s="380">
        <v>94.55</v>
      </c>
      <c r="I11" s="380">
        <v>111.3</v>
      </c>
      <c r="J11" s="380">
        <f t="shared" si="1"/>
        <v>8.2643065168879382</v>
      </c>
      <c r="K11" s="380">
        <f t="shared" si="2"/>
        <v>-57.109293421510515</v>
      </c>
      <c r="L11" s="380">
        <f t="shared" si="3"/>
        <v>-355.27697558414286</v>
      </c>
      <c r="M11" s="380">
        <f t="shared" si="4"/>
        <v>-107.49183215646126</v>
      </c>
      <c r="N11" s="380">
        <f t="shared" si="5"/>
        <v>-162.19084213008557</v>
      </c>
      <c r="O11" s="380">
        <f t="shared" si="6"/>
        <v>61.187906085786025</v>
      </c>
      <c r="P11" s="380">
        <f t="shared" si="7"/>
        <v>61.187906085786025</v>
      </c>
    </row>
    <row r="12" spans="1:16" ht="15.75">
      <c r="A12" s="382">
        <v>7</v>
      </c>
      <c r="B12" s="383" t="s">
        <v>18</v>
      </c>
      <c r="C12" s="380">
        <v>-74.170000000000073</v>
      </c>
      <c r="D12" s="380">
        <v>-197.73</v>
      </c>
      <c r="E12" s="380">
        <v>-613</v>
      </c>
      <c r="F12" s="381">
        <v>-440.28</v>
      </c>
      <c r="G12" s="380">
        <v>-637.70000000000005</v>
      </c>
      <c r="H12" s="380">
        <v>-508.46</v>
      </c>
      <c r="I12" s="380">
        <v>-565.54999999999995</v>
      </c>
      <c r="J12" s="380">
        <f t="shared" si="1"/>
        <v>-70.133136654185165</v>
      </c>
      <c r="K12" s="380">
        <f t="shared" si="2"/>
        <v>-172.05882352941177</v>
      </c>
      <c r="L12" s="380">
        <f t="shared" si="3"/>
        <v>-502.92071409818851</v>
      </c>
      <c r="M12" s="380">
        <f t="shared" si="4"/>
        <v>-331.44130444601694</v>
      </c>
      <c r="N12" s="380">
        <f t="shared" si="5"/>
        <v>-442.28821905647027</v>
      </c>
      <c r="O12" s="380">
        <f t="shared" si="6"/>
        <v>-329.04920918433385</v>
      </c>
      <c r="P12" s="380">
        <f t="shared" si="7"/>
        <v>-329.04920918433385</v>
      </c>
    </row>
    <row r="13" spans="1:16" ht="15.75">
      <c r="A13" s="382">
        <v>8</v>
      </c>
      <c r="B13" s="383" t="s">
        <v>19</v>
      </c>
      <c r="C13" s="380">
        <v>-260.08</v>
      </c>
      <c r="D13" s="380">
        <v>-345.66</v>
      </c>
      <c r="E13" s="380">
        <v>-688.63</v>
      </c>
      <c r="F13" s="381">
        <v>-705.52000000000044</v>
      </c>
      <c r="G13" s="380">
        <v>-1011.6250239999999</v>
      </c>
      <c r="H13" s="380">
        <v>-1118.71</v>
      </c>
      <c r="I13" s="380">
        <v>-1440.35</v>
      </c>
      <c r="J13" s="380">
        <f t="shared" si="1"/>
        <v>-245.92458111123716</v>
      </c>
      <c r="K13" s="380">
        <f t="shared" si="2"/>
        <v>-300.78315349808565</v>
      </c>
      <c r="L13" s="380">
        <f t="shared" si="3"/>
        <v>-564.96948017852458</v>
      </c>
      <c r="M13" s="380">
        <f t="shared" si="4"/>
        <v>-531.11308511118841</v>
      </c>
      <c r="N13" s="380">
        <f t="shared" si="5"/>
        <v>-701.63059466507605</v>
      </c>
      <c r="O13" s="380">
        <f t="shared" si="6"/>
        <v>-723.9716807745076</v>
      </c>
      <c r="P13" s="380">
        <f t="shared" si="7"/>
        <v>-723.9716807745076</v>
      </c>
    </row>
    <row r="14" spans="1:16" ht="15.75">
      <c r="A14" s="382">
        <v>9</v>
      </c>
      <c r="B14" s="383" t="s">
        <v>20</v>
      </c>
      <c r="C14" s="380">
        <v>114.94</v>
      </c>
      <c r="D14" s="380">
        <v>59.44</v>
      </c>
      <c r="E14" s="380">
        <v>-181.8</v>
      </c>
      <c r="F14" s="381">
        <v>-201.66</v>
      </c>
      <c r="G14" s="380">
        <v>-167.97007299999973</v>
      </c>
      <c r="H14" s="380">
        <v>-294.54000000000002</v>
      </c>
      <c r="I14" s="380">
        <v>-289.27999999999997</v>
      </c>
      <c r="J14" s="380">
        <f t="shared" si="1"/>
        <v>108.68414085252846</v>
      </c>
      <c r="K14" s="380">
        <f t="shared" si="2"/>
        <v>51.722937695788374</v>
      </c>
      <c r="L14" s="380">
        <f t="shared" si="3"/>
        <v>-149.15332108164873</v>
      </c>
      <c r="M14" s="380">
        <f t="shared" si="4"/>
        <v>-151.80897032475647</v>
      </c>
      <c r="N14" s="380">
        <f t="shared" si="5"/>
        <v>-116.49864268771394</v>
      </c>
      <c r="O14" s="380">
        <f t="shared" si="6"/>
        <v>-190.6111671973286</v>
      </c>
      <c r="P14" s="380">
        <f t="shared" si="7"/>
        <v>-190.6111671973286</v>
      </c>
    </row>
    <row r="15" spans="1:16" ht="15.75">
      <c r="A15" s="382">
        <v>10</v>
      </c>
      <c r="B15" s="383" t="s">
        <v>21</v>
      </c>
      <c r="C15" s="380">
        <v>201.74</v>
      </c>
      <c r="D15" s="380">
        <v>96.38</v>
      </c>
      <c r="E15" s="380">
        <v>-769.32</v>
      </c>
      <c r="F15" s="381">
        <v>-424.36</v>
      </c>
      <c r="G15" s="380">
        <v>-1045.83</v>
      </c>
      <c r="H15" s="380">
        <v>-950.36</v>
      </c>
      <c r="I15" s="380">
        <v>-1305.79</v>
      </c>
      <c r="J15" s="380">
        <f t="shared" si="1"/>
        <v>190.75986232459624</v>
      </c>
      <c r="K15" s="380">
        <f t="shared" si="2"/>
        <v>83.867037939436131</v>
      </c>
      <c r="L15" s="380">
        <f t="shared" si="3"/>
        <v>-631.16959831976908</v>
      </c>
      <c r="M15" s="380">
        <f t="shared" si="4"/>
        <v>-319.45678194492541</v>
      </c>
      <c r="N15" s="380">
        <f t="shared" si="5"/>
        <v>-725.35406638831466</v>
      </c>
      <c r="O15" s="380">
        <f t="shared" si="6"/>
        <v>-615.02420335999591</v>
      </c>
      <c r="P15" s="380">
        <f t="shared" si="7"/>
        <v>-615.02420335999591</v>
      </c>
    </row>
    <row r="16" spans="1:16" ht="15.75">
      <c r="A16" s="382">
        <v>11</v>
      </c>
      <c r="B16" s="383" t="s">
        <v>22</v>
      </c>
      <c r="C16" s="380">
        <v>667.28452264799944</v>
      </c>
      <c r="D16" s="380">
        <v>299.78000000000065</v>
      </c>
      <c r="E16" s="380">
        <v>-1338.12</v>
      </c>
      <c r="F16" s="381">
        <v>-341.64000000000124</v>
      </c>
      <c r="G16" s="380">
        <v>546.26774999999907</v>
      </c>
      <c r="H16" s="380">
        <v>-1292.1600000000001</v>
      </c>
      <c r="I16" s="380">
        <v>-1431.76</v>
      </c>
      <c r="J16" s="380">
        <f t="shared" si="1"/>
        <v>630.96611317372003</v>
      </c>
      <c r="K16" s="380">
        <f t="shared" si="2"/>
        <v>260.85972850678792</v>
      </c>
      <c r="L16" s="380">
        <f t="shared" si="3"/>
        <v>-1097.8275137831452</v>
      </c>
      <c r="M16" s="380">
        <f t="shared" si="4"/>
        <v>-257.18544392417925</v>
      </c>
      <c r="N16" s="380">
        <f t="shared" si="5"/>
        <v>378.87374984394654</v>
      </c>
      <c r="O16" s="380">
        <f t="shared" si="6"/>
        <v>-836.21961637027266</v>
      </c>
      <c r="P16" s="380">
        <f t="shared" si="7"/>
        <v>-836.21961637027266</v>
      </c>
    </row>
    <row r="17" spans="1:16" ht="15.75">
      <c r="A17" s="382"/>
      <c r="B17" s="379" t="s">
        <v>229</v>
      </c>
      <c r="C17" s="384">
        <f t="shared" ref="C17:P17" si="8">SUM(C6:C16)</f>
        <v>-2632.4954773520021</v>
      </c>
      <c r="D17" s="384">
        <f t="shared" si="8"/>
        <v>-3557.0099999999993</v>
      </c>
      <c r="E17" s="384">
        <f t="shared" si="8"/>
        <v>-14323.509999999998</v>
      </c>
      <c r="F17" s="384">
        <f t="shared" si="8"/>
        <v>-12349.490000000003</v>
      </c>
      <c r="G17" s="384">
        <f t="shared" si="8"/>
        <v>-18432.519314988662</v>
      </c>
      <c r="H17" s="384">
        <f t="shared" si="8"/>
        <v>-17947.980000000003</v>
      </c>
      <c r="I17" s="384">
        <f t="shared" si="8"/>
        <v>-17952.18</v>
      </c>
      <c r="J17" s="384">
        <f t="shared" si="8"/>
        <v>-2489.2161932675235</v>
      </c>
      <c r="K17" s="384">
        <f t="shared" si="8"/>
        <v>-3095.205360250608</v>
      </c>
      <c r="L17" s="384">
        <f t="shared" si="8"/>
        <v>-11751.370110265165</v>
      </c>
      <c r="M17" s="384">
        <f t="shared" si="8"/>
        <v>-9296.6545717339959</v>
      </c>
      <c r="N17" s="384">
        <f t="shared" si="8"/>
        <v>-12784.202823506857</v>
      </c>
      <c r="O17" s="384">
        <f t="shared" si="8"/>
        <v>-11615.011260386735</v>
      </c>
      <c r="P17" s="384">
        <f t="shared" si="8"/>
        <v>-11353.885775173718</v>
      </c>
    </row>
    <row r="18" spans="1:16" ht="15.75">
      <c r="A18" s="378" t="s">
        <v>230</v>
      </c>
      <c r="B18" s="379" t="s">
        <v>310</v>
      </c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80"/>
      <c r="O18" s="380"/>
      <c r="P18" s="377"/>
    </row>
    <row r="19" spans="1:16" ht="15.75">
      <c r="A19" s="382">
        <v>1</v>
      </c>
      <c r="B19" s="383" t="s">
        <v>25</v>
      </c>
      <c r="C19" s="380">
        <v>8401.92</v>
      </c>
      <c r="D19" s="380">
        <v>13829</v>
      </c>
      <c r="E19" s="380">
        <v>10750.79</v>
      </c>
      <c r="F19" s="380">
        <v>16163.33</v>
      </c>
      <c r="G19" s="380">
        <v>15953.16</v>
      </c>
      <c r="H19" s="380">
        <v>17896.150000000001</v>
      </c>
      <c r="I19" s="380">
        <v>23087.79</v>
      </c>
      <c r="J19" s="380">
        <f t="shared" ref="J19:J35" si="9">+C19/C$45</f>
        <v>7944.6272551911943</v>
      </c>
      <c r="K19" s="380">
        <f t="shared" ref="K19:K35" si="10">+D19/D$45</f>
        <v>12033.58858336234</v>
      </c>
      <c r="L19" s="380">
        <f t="shared" ref="L19:L35" si="11">+E19/E$45</f>
        <v>8820.2202021527974</v>
      </c>
      <c r="M19" s="380">
        <f t="shared" ref="M19:M35" si="12">+F19/F$45</f>
        <v>12167.700507384936</v>
      </c>
      <c r="N19" s="380">
        <f t="shared" ref="N19:N35" si="13">+G19/G$45</f>
        <v>11064.598909711336</v>
      </c>
      <c r="O19" s="380">
        <f t="shared" ref="O19:O35" si="14">+H19/H$45</f>
        <v>11581.469545183922</v>
      </c>
      <c r="P19" s="380">
        <f t="shared" ref="P19:P35" si="15">+H19/H$45</f>
        <v>11581.469545183922</v>
      </c>
    </row>
    <row r="20" spans="1:16" ht="15.75">
      <c r="A20" s="382">
        <v>2</v>
      </c>
      <c r="B20" s="383" t="s">
        <v>26</v>
      </c>
      <c r="C20" s="380">
        <v>5124.2299999999923</v>
      </c>
      <c r="D20" s="380">
        <v>6337.72</v>
      </c>
      <c r="E20" s="380">
        <v>6041.8300000000054</v>
      </c>
      <c r="F20" s="380">
        <v>9442.0699999999924</v>
      </c>
      <c r="G20" s="380">
        <v>7101.2763170000035</v>
      </c>
      <c r="H20" s="380">
        <v>9708.73</v>
      </c>
      <c r="I20" s="380">
        <v>14097.68</v>
      </c>
      <c r="J20" s="380">
        <f t="shared" si="9"/>
        <v>4845.3326525208895</v>
      </c>
      <c r="K20" s="380">
        <f t="shared" si="10"/>
        <v>5514.8973198746953</v>
      </c>
      <c r="L20" s="380">
        <f t="shared" si="11"/>
        <v>4956.8702415332154</v>
      </c>
      <c r="M20" s="380">
        <f t="shared" si="12"/>
        <v>7107.9585660729563</v>
      </c>
      <c r="N20" s="380">
        <f t="shared" si="13"/>
        <v>4925.2169598146811</v>
      </c>
      <c r="O20" s="380">
        <f t="shared" si="14"/>
        <v>6282.9916388392739</v>
      </c>
      <c r="P20" s="380">
        <f t="shared" si="15"/>
        <v>6282.9916388392739</v>
      </c>
    </row>
    <row r="21" spans="1:16" ht="15.75">
      <c r="A21" s="382">
        <v>3</v>
      </c>
      <c r="B21" s="383" t="s">
        <v>27</v>
      </c>
      <c r="C21" s="380">
        <v>4626.53</v>
      </c>
      <c r="D21" s="380">
        <v>5276.33</v>
      </c>
      <c r="E21" s="380">
        <v>5427.67</v>
      </c>
      <c r="F21" s="380">
        <v>7614.92</v>
      </c>
      <c r="G21" s="380">
        <v>7758.64</v>
      </c>
      <c r="H21" s="380">
        <v>9444.19</v>
      </c>
      <c r="I21" s="380">
        <v>11541.63</v>
      </c>
      <c r="J21" s="380">
        <f t="shared" si="9"/>
        <v>4374.7210560157337</v>
      </c>
      <c r="K21" s="380">
        <f t="shared" si="10"/>
        <v>4591.3069961712499</v>
      </c>
      <c r="L21" s="380">
        <f t="shared" si="11"/>
        <v>4452.9978340771859</v>
      </c>
      <c r="M21" s="380">
        <f t="shared" si="12"/>
        <v>5732.4861861816653</v>
      </c>
      <c r="N21" s="380">
        <f t="shared" si="13"/>
        <v>5381.1432772468133</v>
      </c>
      <c r="O21" s="380">
        <f t="shared" si="14"/>
        <v>6111.7949315316719</v>
      </c>
      <c r="P21" s="380">
        <f t="shared" si="15"/>
        <v>6111.7949315316719</v>
      </c>
    </row>
    <row r="22" spans="1:16" ht="15.75">
      <c r="A22" s="382">
        <v>4</v>
      </c>
      <c r="B22" s="383" t="s">
        <v>28</v>
      </c>
      <c r="C22" s="380">
        <v>601.65999999999894</v>
      </c>
      <c r="D22" s="380">
        <v>534.08000000000004</v>
      </c>
      <c r="E22" s="380">
        <v>1025</v>
      </c>
      <c r="F22" s="381">
        <v>1192.9199999999996</v>
      </c>
      <c r="G22" s="380">
        <v>1849.2788999999993</v>
      </c>
      <c r="H22" s="380">
        <v>1977.57</v>
      </c>
      <c r="I22" s="380">
        <v>2140.4299999999998</v>
      </c>
      <c r="J22" s="380">
        <f t="shared" si="9"/>
        <v>568.9133477060393</v>
      </c>
      <c r="K22" s="380">
        <f t="shared" si="10"/>
        <v>464.74068917507833</v>
      </c>
      <c r="L22" s="380">
        <f t="shared" si="11"/>
        <v>840.93594119191391</v>
      </c>
      <c r="M22" s="380">
        <f t="shared" si="12"/>
        <v>898.02616721118932</v>
      </c>
      <c r="N22" s="380">
        <f t="shared" si="13"/>
        <v>1282.6003939465393</v>
      </c>
      <c r="O22" s="380">
        <f t="shared" si="14"/>
        <v>1279.7817814708394</v>
      </c>
      <c r="P22" s="380">
        <f t="shared" si="15"/>
        <v>1279.7817814708394</v>
      </c>
    </row>
    <row r="23" spans="1:16" ht="15.75">
      <c r="A23" s="382">
        <v>5</v>
      </c>
      <c r="B23" s="383" t="s">
        <v>29</v>
      </c>
      <c r="C23" s="380">
        <v>7454.0100000000057</v>
      </c>
      <c r="D23" s="380">
        <v>8287.23</v>
      </c>
      <c r="E23" s="380">
        <v>3755.2099999999919</v>
      </c>
      <c r="F23" s="381">
        <v>9052.5299999999988</v>
      </c>
      <c r="G23" s="380">
        <v>14228.769399999997</v>
      </c>
      <c r="H23" s="380">
        <v>18994.11</v>
      </c>
      <c r="I23" s="380">
        <v>23953.37</v>
      </c>
      <c r="J23" s="380">
        <f t="shared" si="9"/>
        <v>7048.3093157835065</v>
      </c>
      <c r="K23" s="380">
        <f t="shared" si="10"/>
        <v>7211.3035154890358</v>
      </c>
      <c r="L23" s="380">
        <f t="shared" si="11"/>
        <v>3080.8693226568589</v>
      </c>
      <c r="M23" s="380">
        <f t="shared" si="12"/>
        <v>6814.7141631159757</v>
      </c>
      <c r="N23" s="380">
        <f t="shared" si="13"/>
        <v>9868.6170257036229</v>
      </c>
      <c r="O23" s="380">
        <f t="shared" si="14"/>
        <v>12292.012891201368</v>
      </c>
      <c r="P23" s="380">
        <f t="shared" si="15"/>
        <v>12292.012891201368</v>
      </c>
    </row>
    <row r="24" spans="1:16" ht="15.75">
      <c r="A24" s="382">
        <v>6</v>
      </c>
      <c r="B24" s="383" t="s">
        <v>30</v>
      </c>
      <c r="C24" s="380">
        <v>4249.57</v>
      </c>
      <c r="D24" s="380">
        <v>524.9</v>
      </c>
      <c r="E24" s="380">
        <v>-189.92</v>
      </c>
      <c r="F24" s="380">
        <v>2220.35</v>
      </c>
      <c r="G24" s="380">
        <v>2475.7600000000002</v>
      </c>
      <c r="H24" s="380">
        <v>2851.45</v>
      </c>
      <c r="I24" s="380">
        <v>6510.41</v>
      </c>
      <c r="J24" s="380">
        <f t="shared" si="9"/>
        <v>4018.277922765611</v>
      </c>
      <c r="K24" s="380">
        <f t="shared" si="10"/>
        <v>456.75252349460493</v>
      </c>
      <c r="L24" s="380">
        <f t="shared" si="11"/>
        <v>-155.81517458650563</v>
      </c>
      <c r="M24" s="380">
        <f t="shared" si="12"/>
        <v>1671.4720185489093</v>
      </c>
      <c r="N24" s="380">
        <f t="shared" si="13"/>
        <v>1717.1075446310913</v>
      </c>
      <c r="O24" s="380">
        <f t="shared" si="14"/>
        <v>1845.3120550852941</v>
      </c>
      <c r="P24" s="380">
        <f t="shared" si="15"/>
        <v>1845.3120550852941</v>
      </c>
    </row>
    <row r="25" spans="1:16" ht="15.75">
      <c r="A25" s="382">
        <v>7</v>
      </c>
      <c r="B25" s="383" t="s">
        <v>31</v>
      </c>
      <c r="C25" s="380">
        <v>2906.21</v>
      </c>
      <c r="D25" s="380">
        <v>3047.09</v>
      </c>
      <c r="E25" s="380">
        <v>2086.39</v>
      </c>
      <c r="F25" s="381">
        <v>4014.3500000000004</v>
      </c>
      <c r="G25" s="380">
        <v>5918.9400000000023</v>
      </c>
      <c r="H25" s="380">
        <v>6545.14</v>
      </c>
      <c r="I25" s="380">
        <v>5966.48</v>
      </c>
      <c r="J25" s="380">
        <f t="shared" si="9"/>
        <v>2748.0332085177201</v>
      </c>
      <c r="K25" s="380">
        <f t="shared" si="10"/>
        <v>2651.4879916463628</v>
      </c>
      <c r="L25" s="380">
        <f t="shared" si="11"/>
        <v>1711.7271593594119</v>
      </c>
      <c r="M25" s="380">
        <f t="shared" si="12"/>
        <v>3021.989189840257</v>
      </c>
      <c r="N25" s="380">
        <f t="shared" si="13"/>
        <v>4105.1865003953353</v>
      </c>
      <c r="O25" s="380">
        <f t="shared" si="14"/>
        <v>4235.6786000880129</v>
      </c>
      <c r="P25" s="380">
        <f t="shared" si="15"/>
        <v>4235.6786000880129</v>
      </c>
    </row>
    <row r="26" spans="1:16" ht="15.75">
      <c r="A26" s="382">
        <v>8</v>
      </c>
      <c r="B26" s="383" t="s">
        <v>32</v>
      </c>
      <c r="C26" s="380">
        <v>8544.1200000000008</v>
      </c>
      <c r="D26" s="380">
        <v>8481.0020096890075</v>
      </c>
      <c r="E26" s="380">
        <v>9437.852851048985</v>
      </c>
      <c r="F26" s="381">
        <v>14747.972998219004</v>
      </c>
      <c r="G26" s="380">
        <v>16376.535714923128</v>
      </c>
      <c r="H26" s="380">
        <v>15496.67</v>
      </c>
      <c r="I26" s="380">
        <v>17450.490000000002</v>
      </c>
      <c r="J26" s="380">
        <f t="shared" si="9"/>
        <v>8079.0877113355273</v>
      </c>
      <c r="K26" s="380">
        <f t="shared" si="10"/>
        <v>7379.9182123990668</v>
      </c>
      <c r="L26" s="380">
        <f t="shared" si="11"/>
        <v>7743.0533367099188</v>
      </c>
      <c r="M26" s="380">
        <f t="shared" si="12"/>
        <v>11102.224512729043</v>
      </c>
      <c r="N26" s="380">
        <f t="shared" si="13"/>
        <v>11358.2386947907</v>
      </c>
      <c r="O26" s="380">
        <f t="shared" si="14"/>
        <v>10028.649271310605</v>
      </c>
      <c r="P26" s="380">
        <f t="shared" si="15"/>
        <v>10028.649271310605</v>
      </c>
    </row>
    <row r="27" spans="1:16" ht="15.75">
      <c r="A27" s="382">
        <v>9</v>
      </c>
      <c r="B27" s="383" t="s">
        <v>33</v>
      </c>
      <c r="C27" s="380">
        <v>-2971.7</v>
      </c>
      <c r="D27" s="380">
        <v>-2632.3220303000016</v>
      </c>
      <c r="E27" s="380">
        <v>-2431.86</v>
      </c>
      <c r="F27" s="381">
        <v>-1215.6399999999994</v>
      </c>
      <c r="G27" s="380">
        <v>-5038.4287146553106</v>
      </c>
      <c r="H27" s="380">
        <v>-2279.14</v>
      </c>
      <c r="I27" s="380">
        <v>-2310.8000000000002</v>
      </c>
      <c r="J27" s="380">
        <f t="shared" si="9"/>
        <v>-2809.9587730246981</v>
      </c>
      <c r="K27" s="380">
        <f t="shared" si="10"/>
        <v>-2290.5691179081114</v>
      </c>
      <c r="L27" s="380">
        <f t="shared" si="11"/>
        <v>-1995.1594906799687</v>
      </c>
      <c r="M27" s="380">
        <f t="shared" si="12"/>
        <v>-915.12970686098822</v>
      </c>
      <c r="N27" s="380">
        <f t="shared" si="13"/>
        <v>-3494.4921797834058</v>
      </c>
      <c r="O27" s="380">
        <f t="shared" si="14"/>
        <v>-1474.9424037689937</v>
      </c>
      <c r="P27" s="380">
        <f t="shared" si="15"/>
        <v>-1474.9424037689937</v>
      </c>
    </row>
    <row r="28" spans="1:16" ht="15.75">
      <c r="A28" s="382">
        <v>10</v>
      </c>
      <c r="B28" s="383" t="s">
        <v>34</v>
      </c>
      <c r="C28" s="380">
        <v>7502.68</v>
      </c>
      <c r="D28" s="380">
        <v>6748</v>
      </c>
      <c r="E28" s="380">
        <v>10376.030000000001</v>
      </c>
      <c r="F28" s="381">
        <v>11906.62</v>
      </c>
      <c r="G28" s="380">
        <v>11672.49</v>
      </c>
      <c r="H28" s="380">
        <v>15750.08</v>
      </c>
      <c r="I28" s="380">
        <v>17145.61</v>
      </c>
      <c r="J28" s="380">
        <f t="shared" si="9"/>
        <v>7094.3303453231965</v>
      </c>
      <c r="K28" s="380">
        <f t="shared" si="10"/>
        <v>5871.9108945353291</v>
      </c>
      <c r="L28" s="380">
        <f t="shared" si="11"/>
        <v>8512.7576135468644</v>
      </c>
      <c r="M28" s="380">
        <f t="shared" si="12"/>
        <v>8963.2635239916308</v>
      </c>
      <c r="N28" s="380">
        <f t="shared" si="13"/>
        <v>8095.6638137909022</v>
      </c>
      <c r="O28" s="380">
        <f t="shared" si="14"/>
        <v>10192.643213999119</v>
      </c>
      <c r="P28" s="380">
        <f t="shared" si="15"/>
        <v>10192.643213999119</v>
      </c>
    </row>
    <row r="29" spans="1:16" ht="15.75">
      <c r="A29" s="382">
        <v>11</v>
      </c>
      <c r="B29" s="383" t="s">
        <v>35</v>
      </c>
      <c r="C29" s="380">
        <v>9432.0499999999993</v>
      </c>
      <c r="D29" s="380">
        <v>10711.01</v>
      </c>
      <c r="E29" s="380">
        <v>2414.77</v>
      </c>
      <c r="F29" s="381">
        <v>5398.27</v>
      </c>
      <c r="G29" s="380">
        <v>15829.97</v>
      </c>
      <c r="H29" s="380">
        <v>14478.96</v>
      </c>
      <c r="I29" s="380">
        <v>17382.689999999999</v>
      </c>
      <c r="J29" s="380">
        <f t="shared" si="9"/>
        <v>8918.6901925186266</v>
      </c>
      <c r="K29" s="380">
        <f t="shared" si="10"/>
        <v>9320.405499477898</v>
      </c>
      <c r="L29" s="380">
        <f t="shared" si="11"/>
        <v>1981.1384221580468</v>
      </c>
      <c r="M29" s="380">
        <f t="shared" si="12"/>
        <v>4063.7995151989649</v>
      </c>
      <c r="N29" s="380">
        <f t="shared" si="13"/>
        <v>10979.158286055124</v>
      </c>
      <c r="O29" s="380">
        <f t="shared" si="14"/>
        <v>9370.0396054981757</v>
      </c>
      <c r="P29" s="380">
        <f t="shared" si="15"/>
        <v>9370.0396054981757</v>
      </c>
    </row>
    <row r="30" spans="1:16" ht="15.75">
      <c r="A30" s="382">
        <v>12</v>
      </c>
      <c r="B30" s="383" t="s">
        <v>74</v>
      </c>
      <c r="C30" s="380">
        <v>4874.4361000000008</v>
      </c>
      <c r="D30" s="380">
        <v>4352.0456999999997</v>
      </c>
      <c r="E30" s="380">
        <v>2619.4993600000053</v>
      </c>
      <c r="F30" s="381">
        <v>6403.7999999999993</v>
      </c>
      <c r="G30" s="380">
        <v>3814.8199999999997</v>
      </c>
      <c r="H30" s="380">
        <v>6029.94</v>
      </c>
      <c r="I30" s="380">
        <v>7840.29</v>
      </c>
      <c r="J30" s="380">
        <f t="shared" si="9"/>
        <v>4609.1343280759493</v>
      </c>
      <c r="K30" s="380">
        <f t="shared" si="10"/>
        <v>3787.0220153150017</v>
      </c>
      <c r="L30" s="380">
        <f t="shared" si="11"/>
        <v>2149.1035704909468</v>
      </c>
      <c r="M30" s="380">
        <f t="shared" si="12"/>
        <v>4820.759120131288</v>
      </c>
      <c r="N30" s="380">
        <f t="shared" si="13"/>
        <v>2645.836512185987</v>
      </c>
      <c r="O30" s="380">
        <f t="shared" si="14"/>
        <v>3902.26760891512</v>
      </c>
      <c r="P30" s="380">
        <f t="shared" si="15"/>
        <v>3902.26760891512</v>
      </c>
    </row>
    <row r="31" spans="1:16" ht="15.75">
      <c r="A31" s="382">
        <v>13</v>
      </c>
      <c r="B31" s="383" t="s">
        <v>36</v>
      </c>
      <c r="C31" s="380">
        <v>-3680.85</v>
      </c>
      <c r="D31" s="380">
        <v>-3665.11</v>
      </c>
      <c r="E31" s="380">
        <v>-5769.68</v>
      </c>
      <c r="F31" s="381">
        <v>-4399.9800000000032</v>
      </c>
      <c r="G31" s="380">
        <v>-8255.64</v>
      </c>
      <c r="H31" s="380">
        <v>-5184.5200000000004</v>
      </c>
      <c r="I31" s="380">
        <v>-1969.1</v>
      </c>
      <c r="J31" s="380">
        <f t="shared" si="9"/>
        <v>-3480.5117440145236</v>
      </c>
      <c r="K31" s="380">
        <f t="shared" si="10"/>
        <v>-3189.2707970762272</v>
      </c>
      <c r="L31" s="380">
        <f t="shared" si="11"/>
        <v>-4733.5914938304022</v>
      </c>
      <c r="M31" s="380">
        <f t="shared" si="12"/>
        <v>-3312.2901579367376</v>
      </c>
      <c r="N31" s="380">
        <f t="shared" si="13"/>
        <v>-5725.8464995630511</v>
      </c>
      <c r="O31" s="380">
        <f t="shared" si="14"/>
        <v>-3355.1551862493857</v>
      </c>
      <c r="P31" s="380">
        <f t="shared" si="15"/>
        <v>-3355.1551862493857</v>
      </c>
    </row>
    <row r="32" spans="1:16" ht="15.75">
      <c r="A32" s="382">
        <v>14</v>
      </c>
      <c r="B32" s="383" t="s">
        <v>37</v>
      </c>
      <c r="C32" s="380">
        <v>2658.27</v>
      </c>
      <c r="D32" s="380">
        <v>471.29000000000087</v>
      </c>
      <c r="E32" s="380">
        <v>-1970.32</v>
      </c>
      <c r="F32" s="381">
        <v>5191.8099999999977</v>
      </c>
      <c r="G32" s="380">
        <v>6213.8399999999965</v>
      </c>
      <c r="H32" s="380">
        <v>9654.09</v>
      </c>
      <c r="I32" s="380">
        <v>10398.9</v>
      </c>
      <c r="J32" s="380">
        <f t="shared" si="9"/>
        <v>2513.5878815386359</v>
      </c>
      <c r="K32" s="380">
        <f t="shared" si="10"/>
        <v>410.10268012530531</v>
      </c>
      <c r="L32" s="380">
        <f t="shared" si="11"/>
        <v>-1616.500393804148</v>
      </c>
      <c r="M32" s="380">
        <f t="shared" si="12"/>
        <v>3908.3771210045302</v>
      </c>
      <c r="N32" s="380">
        <f t="shared" si="13"/>
        <v>4309.719659874323</v>
      </c>
      <c r="O32" s="380">
        <f t="shared" si="14"/>
        <v>6247.6314358934542</v>
      </c>
      <c r="P32" s="380">
        <f t="shared" si="15"/>
        <v>6247.6314358934542</v>
      </c>
    </row>
    <row r="33" spans="1:16" ht="15.75">
      <c r="A33" s="382">
        <v>15</v>
      </c>
      <c r="B33" s="383" t="s">
        <v>38</v>
      </c>
      <c r="C33" s="380">
        <v>9866.14</v>
      </c>
      <c r="D33" s="380">
        <v>7298.9300000000076</v>
      </c>
      <c r="E33" s="380">
        <v>5393.2200000000084</v>
      </c>
      <c r="F33" s="381">
        <v>7351.39</v>
      </c>
      <c r="G33" s="380">
        <v>5060.04</v>
      </c>
      <c r="H33" s="380">
        <v>3802.55</v>
      </c>
      <c r="I33" s="380">
        <v>12037.8</v>
      </c>
      <c r="J33" s="380">
        <f t="shared" si="9"/>
        <v>9329.1539014334867</v>
      </c>
      <c r="K33" s="380">
        <f t="shared" si="10"/>
        <v>6351.3139575356836</v>
      </c>
      <c r="L33" s="380">
        <f t="shared" si="11"/>
        <v>4424.7341822000599</v>
      </c>
      <c r="M33" s="380">
        <f t="shared" si="12"/>
        <v>5534.1016877700667</v>
      </c>
      <c r="N33" s="380">
        <f t="shared" si="13"/>
        <v>3509.4810725333255</v>
      </c>
      <c r="O33" s="380">
        <f t="shared" si="14"/>
        <v>2460.8151484559035</v>
      </c>
      <c r="P33" s="380">
        <f t="shared" si="15"/>
        <v>2460.8151484559035</v>
      </c>
    </row>
    <row r="34" spans="1:16" ht="15.75">
      <c r="A34" s="382">
        <v>16</v>
      </c>
      <c r="B34" s="383" t="s">
        <v>39</v>
      </c>
      <c r="C34" s="380">
        <v>9286.7000000000007</v>
      </c>
      <c r="D34" s="380">
        <v>10604.98</v>
      </c>
      <c r="E34" s="380">
        <v>9215.429999999993</v>
      </c>
      <c r="F34" s="381">
        <v>9529.25</v>
      </c>
      <c r="G34" s="380">
        <v>13883.47</v>
      </c>
      <c r="H34" s="380">
        <v>18134.75</v>
      </c>
      <c r="I34" s="380">
        <v>26454.6</v>
      </c>
      <c r="J34" s="380">
        <f t="shared" si="9"/>
        <v>8781.2511819660358</v>
      </c>
      <c r="K34" s="380">
        <f t="shared" si="10"/>
        <v>9228.1413156978761</v>
      </c>
      <c r="L34" s="380">
        <f t="shared" si="11"/>
        <v>7560.5720005250669</v>
      </c>
      <c r="M34" s="380">
        <f t="shared" si="12"/>
        <v>7173.5873771059496</v>
      </c>
      <c r="N34" s="380">
        <f t="shared" si="13"/>
        <v>9629.1284626374982</v>
      </c>
      <c r="O34" s="380">
        <f t="shared" si="14"/>
        <v>11735.87921617354</v>
      </c>
      <c r="P34" s="380">
        <f t="shared" si="15"/>
        <v>11735.87921617354</v>
      </c>
    </row>
    <row r="35" spans="1:16" ht="15.75">
      <c r="A35" s="382">
        <v>17</v>
      </c>
      <c r="B35" s="383" t="s">
        <v>40</v>
      </c>
      <c r="C35" s="380">
        <v>-5017.7499999999927</v>
      </c>
      <c r="D35" s="380">
        <v>-11795.29</v>
      </c>
      <c r="E35" s="380">
        <v>-16375.17</v>
      </c>
      <c r="F35" s="381">
        <v>-10875.53</v>
      </c>
      <c r="G35" s="380">
        <v>-7277.13</v>
      </c>
      <c r="H35" s="380">
        <v>-9442.39</v>
      </c>
      <c r="I35" s="380">
        <v>-4399.5200000000004</v>
      </c>
      <c r="J35" s="380">
        <f t="shared" si="9"/>
        <v>-4744.6480577934044</v>
      </c>
      <c r="K35" s="380">
        <f t="shared" si="10"/>
        <v>-10263.914027149322</v>
      </c>
      <c r="L35" s="380">
        <f t="shared" si="11"/>
        <v>-13434.603898661066</v>
      </c>
      <c r="M35" s="380">
        <f t="shared" si="12"/>
        <v>-8187.0624369532825</v>
      </c>
      <c r="N35" s="380">
        <f t="shared" si="13"/>
        <v>-5047.1834209540721</v>
      </c>
      <c r="O35" s="380">
        <f t="shared" si="14"/>
        <v>-6110.630063938288</v>
      </c>
      <c r="P35" s="380">
        <f t="shared" si="15"/>
        <v>-6110.630063938288</v>
      </c>
    </row>
    <row r="36" spans="1:16" ht="15.75">
      <c r="A36" s="382"/>
      <c r="B36" s="379" t="s">
        <v>192</v>
      </c>
      <c r="C36" s="384">
        <f t="shared" ref="C36:P36" si="16">SUM(C19:C35)</f>
        <v>73858.2261</v>
      </c>
      <c r="D36" s="384">
        <f t="shared" si="16"/>
        <v>68410.88567938903</v>
      </c>
      <c r="E36" s="384">
        <f t="shared" si="16"/>
        <v>41806.742211048993</v>
      </c>
      <c r="F36" s="384">
        <f t="shared" si="16"/>
        <v>93738.432998218996</v>
      </c>
      <c r="G36" s="384">
        <f t="shared" si="16"/>
        <v>107565.79161726782</v>
      </c>
      <c r="H36" s="384">
        <f t="shared" si="16"/>
        <v>133858.33000000002</v>
      </c>
      <c r="I36" s="384">
        <f t="shared" si="16"/>
        <v>187328.75</v>
      </c>
      <c r="J36" s="384">
        <f t="shared" si="16"/>
        <v>69838.331725859534</v>
      </c>
      <c r="K36" s="384">
        <f t="shared" si="16"/>
        <v>59529.138252165867</v>
      </c>
      <c r="L36" s="384">
        <f t="shared" si="16"/>
        <v>34299.309375040189</v>
      </c>
      <c r="M36" s="384">
        <f t="shared" si="16"/>
        <v>70565.977354536342</v>
      </c>
      <c r="N36" s="384">
        <f t="shared" si="16"/>
        <v>74604.175013016749</v>
      </c>
      <c r="O36" s="384">
        <f t="shared" si="16"/>
        <v>86626.239289689649</v>
      </c>
      <c r="P36" s="384">
        <f t="shared" si="16"/>
        <v>86626.239289689649</v>
      </c>
    </row>
    <row r="37" spans="1:16" ht="15.75">
      <c r="A37" s="382"/>
      <c r="B37" s="379" t="s">
        <v>86</v>
      </c>
      <c r="C37" s="384">
        <f t="shared" ref="C37:P37" si="17">C36+C17</f>
        <v>71225.730622648</v>
      </c>
      <c r="D37" s="384">
        <f t="shared" si="17"/>
        <v>64853.875679389028</v>
      </c>
      <c r="E37" s="384">
        <f t="shared" si="17"/>
        <v>27483.232211048995</v>
      </c>
      <c r="F37" s="384">
        <f t="shared" si="17"/>
        <v>81388.94299821899</v>
      </c>
      <c r="G37" s="384">
        <f t="shared" si="17"/>
        <v>89133.272302279162</v>
      </c>
      <c r="H37" s="384">
        <f t="shared" si="17"/>
        <v>115910.35</v>
      </c>
      <c r="I37" s="384">
        <f t="shared" si="17"/>
        <v>169376.57</v>
      </c>
      <c r="J37" s="384">
        <f t="shared" si="17"/>
        <v>67349.115532592012</v>
      </c>
      <c r="K37" s="384">
        <f t="shared" si="17"/>
        <v>56433.932891915261</v>
      </c>
      <c r="L37" s="384">
        <f t="shared" si="17"/>
        <v>22547.939264775025</v>
      </c>
      <c r="M37" s="384">
        <f t="shared" si="17"/>
        <v>61269.322782802345</v>
      </c>
      <c r="N37" s="384">
        <f t="shared" si="17"/>
        <v>61819.972189509892</v>
      </c>
      <c r="O37" s="384">
        <f t="shared" si="17"/>
        <v>75011.228029302918</v>
      </c>
      <c r="P37" s="384">
        <f t="shared" si="17"/>
        <v>75272.353514515926</v>
      </c>
    </row>
    <row r="38" spans="1:16" ht="15.75">
      <c r="A38" s="385" t="s">
        <v>231</v>
      </c>
      <c r="B38" s="379" t="s">
        <v>248</v>
      </c>
      <c r="C38" s="384"/>
      <c r="D38" s="384"/>
      <c r="E38" s="384"/>
      <c r="F38" s="384"/>
      <c r="G38" s="384"/>
      <c r="H38" s="384"/>
      <c r="I38" s="384"/>
      <c r="J38" s="384"/>
      <c r="K38" s="384"/>
      <c r="L38" s="384"/>
      <c r="M38" s="384"/>
      <c r="N38" s="380"/>
      <c r="O38" s="380"/>
      <c r="P38" s="384"/>
    </row>
    <row r="39" spans="1:16" ht="15.75">
      <c r="A39" s="382">
        <v>1</v>
      </c>
      <c r="B39" s="383" t="s">
        <v>233</v>
      </c>
      <c r="C39" s="380">
        <v>7692.32</v>
      </c>
      <c r="D39" s="380">
        <v>7668.32</v>
      </c>
      <c r="E39" s="380">
        <v>9689.89</v>
      </c>
      <c r="F39" s="365">
        <v>13228.12</v>
      </c>
      <c r="G39" s="380">
        <v>9241.68</v>
      </c>
      <c r="H39" s="380">
        <v>11641.44</v>
      </c>
      <c r="I39" s="380">
        <v>16655.900000000001</v>
      </c>
      <c r="J39" s="380">
        <f t="shared" ref="J39:O40" si="18">+C39/C$45</f>
        <v>7273.6487764287594</v>
      </c>
      <c r="K39" s="380">
        <f t="shared" si="18"/>
        <v>6672.7462582666203</v>
      </c>
      <c r="L39" s="380">
        <f t="shared" si="18"/>
        <v>7949.8309923864526</v>
      </c>
      <c r="M39" s="380">
        <f t="shared" si="18"/>
        <v>9958.0842831117625</v>
      </c>
      <c r="N39" s="380">
        <f t="shared" si="18"/>
        <v>6409.7321440956566</v>
      </c>
      <c r="O39" s="380">
        <f t="shared" si="18"/>
        <v>7533.7423312883438</v>
      </c>
      <c r="P39" s="380">
        <f>+H39/H$45</f>
        <v>7533.7423312883438</v>
      </c>
    </row>
    <row r="40" spans="1:16" ht="15.75">
      <c r="A40" s="382">
        <v>2</v>
      </c>
      <c r="B40" s="383" t="s">
        <v>44</v>
      </c>
      <c r="C40" s="380">
        <v>87.52</v>
      </c>
      <c r="D40" s="380">
        <v>0</v>
      </c>
      <c r="E40" s="380">
        <v>0</v>
      </c>
      <c r="F40" s="380">
        <f>603.87-493</f>
        <v>110.87</v>
      </c>
      <c r="G40" s="380">
        <f>245.14-513</f>
        <v>-267.86</v>
      </c>
      <c r="H40" s="380">
        <v>463.43</v>
      </c>
      <c r="I40" s="380">
        <v>599.9</v>
      </c>
      <c r="J40" s="380">
        <f t="shared" si="18"/>
        <v>82.756533908241607</v>
      </c>
      <c r="K40" s="380">
        <f t="shared" si="18"/>
        <v>0</v>
      </c>
      <c r="L40" s="380">
        <f t="shared" si="18"/>
        <v>0</v>
      </c>
      <c r="M40" s="380">
        <f t="shared" si="18"/>
        <v>83.46256342311689</v>
      </c>
      <c r="N40" s="380">
        <f t="shared" si="18"/>
        <v>-185.77908476786283</v>
      </c>
      <c r="O40" s="380">
        <f t="shared" si="18"/>
        <v>299.90810488985534</v>
      </c>
      <c r="P40" s="380">
        <f>+H40/H$45</f>
        <v>299.90810488985534</v>
      </c>
    </row>
    <row r="41" spans="1:16" ht="15.75">
      <c r="A41" s="382"/>
      <c r="B41" s="386" t="s">
        <v>234</v>
      </c>
      <c r="C41" s="384">
        <f t="shared" ref="C41:P41" si="19">C39+C40</f>
        <v>7779.84</v>
      </c>
      <c r="D41" s="384">
        <f t="shared" si="19"/>
        <v>7668.32</v>
      </c>
      <c r="E41" s="384">
        <f t="shared" si="19"/>
        <v>9689.89</v>
      </c>
      <c r="F41" s="384">
        <f t="shared" si="19"/>
        <v>13338.990000000002</v>
      </c>
      <c r="G41" s="384">
        <f t="shared" si="19"/>
        <v>8973.82</v>
      </c>
      <c r="H41" s="384">
        <f t="shared" si="19"/>
        <v>12104.87</v>
      </c>
      <c r="I41" s="384">
        <f t="shared" si="19"/>
        <v>17255.800000000003</v>
      </c>
      <c r="J41" s="384">
        <f t="shared" si="19"/>
        <v>7356.4053103370006</v>
      </c>
      <c r="K41" s="384">
        <f t="shared" si="19"/>
        <v>6672.7462582666203</v>
      </c>
      <c r="L41" s="384">
        <f t="shared" si="19"/>
        <v>7949.8309923864526</v>
      </c>
      <c r="M41" s="384">
        <f t="shared" si="19"/>
        <v>10041.546846534879</v>
      </c>
      <c r="N41" s="384">
        <f t="shared" si="19"/>
        <v>6223.9530593277941</v>
      </c>
      <c r="O41" s="384">
        <f t="shared" si="19"/>
        <v>7833.650436178199</v>
      </c>
      <c r="P41" s="384">
        <f t="shared" si="19"/>
        <v>7833.650436178199</v>
      </c>
    </row>
    <row r="42" spans="1:16" s="300" customFormat="1">
      <c r="A42" s="385"/>
      <c r="B42" s="386" t="s">
        <v>249</v>
      </c>
      <c r="C42" s="384">
        <f t="shared" ref="C42:P42" si="20">C37+C41</f>
        <v>79005.570622647996</v>
      </c>
      <c r="D42" s="384">
        <f t="shared" si="20"/>
        <v>72522.195679389028</v>
      </c>
      <c r="E42" s="384">
        <f t="shared" si="20"/>
        <v>37173.122211048991</v>
      </c>
      <c r="F42" s="384">
        <f t="shared" si="20"/>
        <v>94727.932998218996</v>
      </c>
      <c r="G42" s="384">
        <f t="shared" si="20"/>
        <v>98107.092302279169</v>
      </c>
      <c r="H42" s="384">
        <f t="shared" si="20"/>
        <v>128015.22</v>
      </c>
      <c r="I42" s="384">
        <f t="shared" si="20"/>
        <v>186632.37</v>
      </c>
      <c r="J42" s="384">
        <f t="shared" si="20"/>
        <v>74705.520842929007</v>
      </c>
      <c r="K42" s="384">
        <f t="shared" si="20"/>
        <v>63106.679150181881</v>
      </c>
      <c r="L42" s="384">
        <f t="shared" si="20"/>
        <v>30497.770257161479</v>
      </c>
      <c r="M42" s="384">
        <f t="shared" si="20"/>
        <v>71310.86962933722</v>
      </c>
      <c r="N42" s="384">
        <f t="shared" si="20"/>
        <v>68043.925248837681</v>
      </c>
      <c r="O42" s="384">
        <f t="shared" si="20"/>
        <v>82844.878465481117</v>
      </c>
      <c r="P42" s="384">
        <f t="shared" si="20"/>
        <v>83106.003950694125</v>
      </c>
    </row>
    <row r="43" spans="1:16" s="300" customFormat="1" ht="18" customHeight="1">
      <c r="A43" s="387"/>
      <c r="B43" s="539" t="s">
        <v>250</v>
      </c>
      <c r="C43" s="539"/>
      <c r="D43" s="539"/>
      <c r="E43" s="539"/>
      <c r="F43" s="539"/>
      <c r="G43" s="539"/>
      <c r="H43" s="539"/>
      <c r="I43" s="539"/>
      <c r="J43" s="388"/>
      <c r="K43" s="388"/>
      <c r="L43" s="388"/>
      <c r="M43" s="388"/>
      <c r="N43" s="388"/>
      <c r="O43" s="388"/>
      <c r="P43" s="388"/>
    </row>
    <row r="44" spans="1:16" s="390" customFormat="1">
      <c r="A44" s="389"/>
      <c r="C44" s="391" t="s">
        <v>48</v>
      </c>
      <c r="D44" s="391" t="s">
        <v>49</v>
      </c>
      <c r="E44" s="391" t="s">
        <v>5</v>
      </c>
      <c r="F44" s="391" t="s">
        <v>6</v>
      </c>
      <c r="G44" s="392" t="s">
        <v>7</v>
      </c>
      <c r="H44" s="393" t="s">
        <v>122</v>
      </c>
      <c r="I44" s="393" t="s">
        <v>139</v>
      </c>
      <c r="J44" s="394"/>
      <c r="K44" s="395"/>
      <c r="L44" s="395"/>
      <c r="M44" s="395"/>
      <c r="N44" s="395"/>
      <c r="O44" s="395"/>
      <c r="P44" s="395"/>
    </row>
    <row r="45" spans="1:16" s="397" customFormat="1" ht="15" customHeight="1">
      <c r="A45" s="396"/>
      <c r="B45" s="397" t="s">
        <v>216</v>
      </c>
      <c r="C45" s="398">
        <v>1.0575600000000001</v>
      </c>
      <c r="D45" s="398">
        <v>1.1492</v>
      </c>
      <c r="E45" s="398">
        <v>1.21888</v>
      </c>
      <c r="F45" s="398">
        <v>1.3283799999999999</v>
      </c>
      <c r="G45" s="398">
        <v>1.4418200000000001</v>
      </c>
      <c r="H45" s="399">
        <v>1.5452399999999999</v>
      </c>
      <c r="I45" s="399">
        <v>1.6520900000000001</v>
      </c>
      <c r="J45" s="398"/>
      <c r="K45" s="398"/>
      <c r="L45" s="398"/>
      <c r="M45" s="398"/>
      <c r="N45" s="398"/>
      <c r="O45" s="398"/>
      <c r="P45" s="398"/>
    </row>
    <row r="46" spans="1:16">
      <c r="C46" s="301"/>
      <c r="D46" s="301"/>
      <c r="E46" s="301"/>
      <c r="F46" s="301"/>
      <c r="G46" s="301"/>
      <c r="H46" s="301"/>
      <c r="I46" s="301"/>
    </row>
  </sheetData>
  <mergeCells count="7">
    <mergeCell ref="B43:I43"/>
    <mergeCell ref="O1:P1"/>
    <mergeCell ref="A1:N1"/>
    <mergeCell ref="A2:A4"/>
    <mergeCell ref="B2:B4"/>
    <mergeCell ref="C2:I2"/>
    <mergeCell ref="J2:P2"/>
  </mergeCells>
  <phoneticPr fontId="42" type="noConversion"/>
  <printOptions horizontalCentered="1"/>
  <pageMargins left="0.23622047244094491" right="0.27559055118110237" top="0.39370078740157483" bottom="0.39370078740157483" header="0.11811023622047245" footer="0.11811023622047245"/>
  <pageSetup paperSize="9" scale="69" orientation="landscape" horizontalDpi="4294967295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P46"/>
  <sheetViews>
    <sheetView view="pageBreakPreview" zoomScaleNormal="100" workbookViewId="0">
      <pane xSplit="2" ySplit="4" topLeftCell="C5" activePane="bottomRight" state="frozen"/>
      <selection activeCell="J4" sqref="J4:P5"/>
      <selection pane="topRight" activeCell="J4" sqref="J4:P5"/>
      <selection pane="bottomLeft" activeCell="J4" sqref="J4:P5"/>
      <selection pane="bottomRight" activeCell="A2" sqref="A2:A4"/>
    </sheetView>
  </sheetViews>
  <sheetFormatPr defaultRowHeight="15"/>
  <cols>
    <col min="1" max="1" width="5.28515625" style="400" customWidth="1"/>
    <col min="2" max="2" width="33.5703125" style="296" bestFit="1" customWidth="1"/>
    <col min="3" max="7" width="12.140625" style="296" customWidth="1"/>
    <col min="8" max="8" width="12.140625" style="344" customWidth="1"/>
    <col min="9" max="9" width="12.7109375" style="344" customWidth="1"/>
    <col min="10" max="16" width="12.140625" style="296" customWidth="1"/>
    <col min="17" max="16384" width="9.140625" style="296"/>
  </cols>
  <sheetData>
    <row r="1" spans="1:16" ht="42.75" customHeight="1">
      <c r="A1" s="540" t="s">
        <v>317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374"/>
      <c r="P1" s="374"/>
    </row>
    <row r="2" spans="1:16" ht="15.75" customHeight="1">
      <c r="A2" s="541" t="s">
        <v>71</v>
      </c>
      <c r="B2" s="541" t="s">
        <v>85</v>
      </c>
      <c r="C2" s="544" t="s">
        <v>251</v>
      </c>
      <c r="D2" s="544"/>
      <c r="E2" s="544"/>
      <c r="F2" s="544"/>
      <c r="G2" s="544"/>
      <c r="H2" s="544"/>
      <c r="I2" s="544"/>
      <c r="J2" s="544" t="s">
        <v>252</v>
      </c>
      <c r="K2" s="544"/>
      <c r="L2" s="544"/>
      <c r="M2" s="544"/>
      <c r="N2" s="544"/>
      <c r="O2" s="544"/>
      <c r="P2" s="544"/>
    </row>
    <row r="3" spans="1:16">
      <c r="A3" s="542"/>
      <c r="B3" s="541"/>
      <c r="C3" s="377" t="s">
        <v>48</v>
      </c>
      <c r="D3" s="377" t="s">
        <v>49</v>
      </c>
      <c r="E3" s="377" t="s">
        <v>5</v>
      </c>
      <c r="F3" s="377" t="s">
        <v>6</v>
      </c>
      <c r="G3" s="377" t="s">
        <v>7</v>
      </c>
      <c r="H3" s="345" t="s">
        <v>122</v>
      </c>
      <c r="I3" s="345" t="s">
        <v>139</v>
      </c>
      <c r="J3" s="377" t="s">
        <v>48</v>
      </c>
      <c r="K3" s="377" t="s">
        <v>49</v>
      </c>
      <c r="L3" s="377" t="s">
        <v>5</v>
      </c>
      <c r="M3" s="377" t="s">
        <v>6</v>
      </c>
      <c r="N3" s="377" t="s">
        <v>7</v>
      </c>
      <c r="O3" s="377" t="s">
        <v>122</v>
      </c>
      <c r="P3" s="377" t="s">
        <v>139</v>
      </c>
    </row>
    <row r="4" spans="1:16">
      <c r="A4" s="542"/>
      <c r="B4" s="541"/>
      <c r="C4" s="377" t="s">
        <v>8</v>
      </c>
      <c r="D4" s="377" t="s">
        <v>8</v>
      </c>
      <c r="E4" s="377" t="s">
        <v>8</v>
      </c>
      <c r="F4" s="377" t="s">
        <v>8</v>
      </c>
      <c r="G4" s="377" t="s">
        <v>253</v>
      </c>
      <c r="H4" s="345" t="s">
        <v>224</v>
      </c>
      <c r="I4" s="345" t="s">
        <v>225</v>
      </c>
      <c r="J4" s="377" t="s">
        <v>8</v>
      </c>
      <c r="K4" s="377" t="s">
        <v>8</v>
      </c>
      <c r="L4" s="377" t="s">
        <v>8</v>
      </c>
      <c r="M4" s="377" t="s">
        <v>8</v>
      </c>
      <c r="N4" s="377" t="s">
        <v>253</v>
      </c>
      <c r="O4" s="377" t="s">
        <v>224</v>
      </c>
      <c r="P4" s="377" t="s">
        <v>225</v>
      </c>
    </row>
    <row r="5" spans="1:16" ht="15.75">
      <c r="A5" s="385" t="s">
        <v>226</v>
      </c>
      <c r="B5" s="379" t="s">
        <v>227</v>
      </c>
      <c r="C5" s="401"/>
      <c r="D5" s="401"/>
      <c r="E5" s="401"/>
      <c r="F5" s="402"/>
      <c r="G5" s="401"/>
      <c r="H5" s="363"/>
      <c r="I5" s="363"/>
      <c r="J5" s="401"/>
      <c r="K5" s="401"/>
      <c r="L5" s="401"/>
      <c r="M5" s="401"/>
      <c r="N5" s="401"/>
      <c r="O5" s="401"/>
      <c r="P5" s="401"/>
    </row>
    <row r="6" spans="1:16" ht="15.75">
      <c r="A6" s="382">
        <v>1</v>
      </c>
      <c r="B6" s="383" t="s">
        <v>12</v>
      </c>
      <c r="C6" s="401">
        <f ca="1">+BCR!C6/'Aggregate As% of GSDP'!K6*100</f>
        <v>1.5694386694386744</v>
      </c>
      <c r="D6" s="401">
        <f ca="1">+BCR!D6/'Aggregate As% of GSDP'!L6*100</f>
        <v>-1.1695094074204326</v>
      </c>
      <c r="E6" s="401">
        <f ca="1">+BCR!E6/'Aggregate As% of GSDP'!M6*100</f>
        <v>-12.466550709124967</v>
      </c>
      <c r="F6" s="401">
        <f ca="1">+BCR!F6/'Aggregate As% of GSDP'!N6*100</f>
        <v>-3.3325196937756574</v>
      </c>
      <c r="G6" s="401">
        <f ca="1">+BCR!G6/'Aggregate As% of GSDP'!O6*100</f>
        <v>-7.0615877201243054</v>
      </c>
      <c r="H6" s="363">
        <f ca="1">+BCR!H6/'Aggregate As% of GSDP'!P6*100</f>
        <v>-4.1160367215284097</v>
      </c>
      <c r="I6" s="363">
        <f ca="1">+BCR!I6/'Aggregate As% of GSDP'!Q6*100</f>
        <v>-0.75235390823494253</v>
      </c>
      <c r="J6" s="401">
        <f ca="1">+BCR!C6/'Aggregate As% of GSDP'!D6*100</f>
        <v>5.1351994830107976</v>
      </c>
      <c r="K6" s="401">
        <f ca="1">+BCR!D6/'Aggregate As% of GSDP'!E6*100</f>
        <v>-3.1678367642435963</v>
      </c>
      <c r="L6" s="401">
        <f ca="1">+BCR!E6/'Aggregate As% of GSDP'!F6*100</f>
        <v>-43.969760319385387</v>
      </c>
      <c r="M6" s="401">
        <f ca="1">+BCR!F6/'Aggregate As% of GSDP'!G6*100</f>
        <v>-14.755572149324269</v>
      </c>
      <c r="N6" s="401">
        <f ca="1">+BCR!G6/'Aggregate As% of GSDP'!H6*100</f>
        <v>-38.443634424809161</v>
      </c>
      <c r="O6" s="401">
        <f ca="1">+BCR!H6/'Aggregate As% of GSDP'!I6*100</f>
        <v>-17.303339533751718</v>
      </c>
      <c r="P6" s="401">
        <f ca="1">+BCR!I6/'Aggregate As% of GSDP'!J6*100</f>
        <v>-2.7210810810810813</v>
      </c>
    </row>
    <row r="7" spans="1:16" ht="15.75">
      <c r="A7" s="382">
        <v>2</v>
      </c>
      <c r="B7" s="383" t="s">
        <v>13</v>
      </c>
      <c r="C7" s="401">
        <f ca="1">+BCR!C7/'Aggregate As% of GSDP'!K7*100</f>
        <v>0.4657831054082921</v>
      </c>
      <c r="D7" s="401">
        <f ca="1">+BCR!D7/'Aggregate As% of GSDP'!L7*100</f>
        <v>1.5314157436416114</v>
      </c>
      <c r="E7" s="401">
        <f ca="1">+BCR!E7/'Aggregate As% of GSDP'!M7*100</f>
        <v>-1.6552122948684553</v>
      </c>
      <c r="F7" s="401">
        <f ca="1">+BCR!F7/'Aggregate As% of GSDP'!N7*100</f>
        <v>-3.2032159591083338</v>
      </c>
      <c r="G7" s="401">
        <f ca="1">+BCR!G7/'Aggregate As% of GSDP'!O7*100</f>
        <v>-2.7025676108726771</v>
      </c>
      <c r="H7" s="363">
        <f ca="1">+BCR!H7/'Aggregate As% of GSDP'!P7*100</f>
        <v>-1.9026344962964534</v>
      </c>
      <c r="I7" s="363">
        <f ca="1">+BCR!I7/'Aggregate As% of GSDP'!Q7*100</f>
        <v>-1.280267073260704</v>
      </c>
      <c r="J7" s="401">
        <f ca="1">+BCR!C7/'Aggregate As% of GSDP'!D7*100</f>
        <v>7.373651656989062</v>
      </c>
      <c r="K7" s="401">
        <f ca="1">+BCR!D7/'Aggregate As% of GSDP'!E7*100</f>
        <v>17.5779026800504</v>
      </c>
      <c r="L7" s="401">
        <f ca="1">+BCR!E7/'Aggregate As% of GSDP'!F7*100</f>
        <v>-25.38579913995197</v>
      </c>
      <c r="M7" s="401">
        <f ca="1">+BCR!F7/'Aggregate As% of GSDP'!G7*100</f>
        <v>-47.215696533682127</v>
      </c>
      <c r="N7" s="401">
        <f ca="1">+BCR!G7/'Aggregate As% of GSDP'!H7*100</f>
        <v>-37.923180114359411</v>
      </c>
      <c r="O7" s="401">
        <f ca="1">+BCR!H7/'Aggregate As% of GSDP'!I7*100</f>
        <v>-25.662190476190478</v>
      </c>
      <c r="P7" s="401">
        <f ca="1">+BCR!I7/'Aggregate As% of GSDP'!J7*100</f>
        <v>-16.659040000000001</v>
      </c>
    </row>
    <row r="8" spans="1:16" ht="15.75">
      <c r="A8" s="382">
        <v>3</v>
      </c>
      <c r="B8" s="383" t="s">
        <v>14</v>
      </c>
      <c r="C8" s="401">
        <f ca="1">+BCR!C8/'Aggregate As% of GSDP'!K8*100</f>
        <v>-0.50345964726319814</v>
      </c>
      <c r="D8" s="401">
        <f ca="1">+BCR!D8/'Aggregate As% of GSDP'!L8*100</f>
        <v>-3.5600607477761974</v>
      </c>
      <c r="E8" s="401">
        <f ca="1">+BCR!E8/'Aggregate As% of GSDP'!M8*100</f>
        <v>-4.0682728423499137</v>
      </c>
      <c r="F8" s="401">
        <f ca="1">+BCR!F8/'Aggregate As% of GSDP'!N8*100</f>
        <v>-3.3867576411613172</v>
      </c>
      <c r="G8" s="401">
        <f ca="1">+BCR!G8/'Aggregate As% of GSDP'!O8*100</f>
        <v>-3.7606416552488571</v>
      </c>
      <c r="H8" s="363">
        <f ca="1">+BCR!H8/'Aggregate As% of GSDP'!P8*100</f>
        <v>-3.7961063627730294</v>
      </c>
      <c r="I8" s="363">
        <f ca="1">+BCR!I8/'Aggregate As% of GSDP'!Q8*100</f>
        <v>-3.839147544953684</v>
      </c>
      <c r="J8" s="401">
        <f ca="1">+BCR!C8/'Aggregate As% of GSDP'!D8*100</f>
        <v>-6.1848025811305458</v>
      </c>
      <c r="K8" s="401">
        <f ca="1">+BCR!D8/'Aggregate As% of GSDP'!E8*100</f>
        <v>-74.600809242131106</v>
      </c>
      <c r="L8" s="401">
        <f ca="1">+BCR!E8/'Aggregate As% of GSDP'!F8*100</f>
        <v>-87.999820450668835</v>
      </c>
      <c r="M8" s="401">
        <f ca="1">+BCR!F8/'Aggregate As% of GSDP'!G8*100</f>
        <v>-64.06384786087277</v>
      </c>
      <c r="N8" s="401">
        <f ca="1">+BCR!G8/'Aggregate As% of GSDP'!H8*100</f>
        <v>-74.537421276180254</v>
      </c>
      <c r="O8" s="401">
        <f ca="1">+BCR!H8/'Aggregate As% of GSDP'!I8*100</f>
        <v>-69.394987785672669</v>
      </c>
      <c r="P8" s="401">
        <f ca="1">+BCR!I8/'Aggregate As% of GSDP'!J8*100</f>
        <v>-77.330731707317057</v>
      </c>
    </row>
    <row r="9" spans="1:16" ht="15.75">
      <c r="A9" s="382">
        <v>4</v>
      </c>
      <c r="B9" s="383" t="s">
        <v>228</v>
      </c>
      <c r="C9" s="401">
        <f ca="1">+BCR!C9/'Aggregate As% of GSDP'!K9*100</f>
        <v>-9.5535998274886111</v>
      </c>
      <c r="D9" s="401">
        <f ca="1">+BCR!D9/'Aggregate As% of GSDP'!L9*100</f>
        <v>-7.0486825002954046</v>
      </c>
      <c r="E9" s="401">
        <f ca="1">+BCR!E9/'Aggregate As% of GSDP'!M9*100</f>
        <v>-11.45431435362199</v>
      </c>
      <c r="F9" s="401">
        <f ca="1">+BCR!F9/'Aggregate As% of GSDP'!N9*100</f>
        <v>-6.9839512337919532</v>
      </c>
      <c r="G9" s="401">
        <f ca="1">+BCR!G9/'Aggregate As% of GSDP'!O9*100</f>
        <v>-12.804741556288867</v>
      </c>
      <c r="H9" s="363">
        <f ca="1">+BCR!H9/'Aggregate As% of GSDP'!P9*100</f>
        <v>-9.4110408341493113</v>
      </c>
      <c r="I9" s="363">
        <f ca="1">+BCR!I9/'Aggregate As% of GSDP'!Q9*100</f>
        <v>-7.9471134575521933</v>
      </c>
      <c r="J9" s="401">
        <f ca="1">+BCR!C9/'Aggregate As% of GSDP'!D9*100</f>
        <v>-85.108237582393855</v>
      </c>
      <c r="K9" s="401">
        <f ca="1">+BCR!D9/'Aggregate As% of GSDP'!E9*100</f>
        <v>-59.579716948153781</v>
      </c>
      <c r="L9" s="401">
        <f ca="1">+BCR!E9/'Aggregate As% of GSDP'!F9*100</f>
        <v>-82.862294626077045</v>
      </c>
      <c r="M9" s="401">
        <f ca="1">+BCR!F9/'Aggregate As% of GSDP'!G9*100</f>
        <v>-70.314751085722236</v>
      </c>
      <c r="N9" s="401">
        <f ca="1">+BCR!G9/'Aggregate As% of GSDP'!H9*100</f>
        <v>-127.42423646274392</v>
      </c>
      <c r="O9" s="401">
        <f ca="1">+BCR!H9/'Aggregate As% of GSDP'!I9*100</f>
        <v>-103.663335743103</v>
      </c>
      <c r="P9" s="401">
        <f ca="1">+BCR!I9/'Aggregate As% of GSDP'!J9*100</f>
        <v>-95.059452054794519</v>
      </c>
    </row>
    <row r="10" spans="1:16" ht="15.75">
      <c r="A10" s="382">
        <v>5</v>
      </c>
      <c r="B10" s="383" t="s">
        <v>16</v>
      </c>
      <c r="C10" s="401">
        <f ca="1">+BCR!C10/'Aggregate As% of GSDP'!K10*100</f>
        <v>0.26212590299277905</v>
      </c>
      <c r="D10" s="401">
        <f ca="1">+BCR!D10/'Aggregate As% of GSDP'!L10*100</f>
        <v>-1.6108933639681036</v>
      </c>
      <c r="E10" s="401">
        <f ca="1">+BCR!E10/'Aggregate As% of GSDP'!M10*100</f>
        <v>-3.3514659559001694</v>
      </c>
      <c r="F10" s="401">
        <f ca="1">+BCR!F10/'Aggregate As% of GSDP'!N10*100</f>
        <v>-1.9885082631060578</v>
      </c>
      <c r="G10" s="401">
        <f ca="1">+BCR!G10/'Aggregate As% of GSDP'!O10*100</f>
        <v>-8.2682920790999752</v>
      </c>
      <c r="H10" s="363">
        <f ca="1">+BCR!H10/'Aggregate As% of GSDP'!P10*100</f>
        <v>-6.4732537761829256</v>
      </c>
      <c r="I10" s="363">
        <f ca="1">+BCR!I10/'Aggregate As% of GSDP'!Q10*100</f>
        <v>-5.4923182327450144</v>
      </c>
      <c r="J10" s="401">
        <f ca="1">+BCR!C10/'Aggregate As% of GSDP'!D10*100</f>
        <v>1.3636642532826271</v>
      </c>
      <c r="K10" s="401">
        <f ca="1">+BCR!D10/'Aggregate As% of GSDP'!E10*100</f>
        <v>-7.4395640748762437</v>
      </c>
      <c r="L10" s="401">
        <f ca="1">+BCR!E10/'Aggregate As% of GSDP'!F10*100</f>
        <v>-14.92666976031424</v>
      </c>
      <c r="M10" s="401">
        <f ca="1">+BCR!F10/'Aggregate As% of GSDP'!G10*100</f>
        <v>-6.4100166874230649</v>
      </c>
      <c r="N10" s="401">
        <f ca="1">+BCR!G10/'Aggregate As% of GSDP'!H10*100</f>
        <v>-53.368404234357371</v>
      </c>
      <c r="O10" s="401">
        <f ca="1">+BCR!H10/'Aggregate As% of GSDP'!I10*100</f>
        <v>-32.032656634566145</v>
      </c>
      <c r="P10" s="401">
        <f ca="1">+BCR!I10/'Aggregate As% of GSDP'!J10*100</f>
        <v>-20.213424657534247</v>
      </c>
    </row>
    <row r="11" spans="1:16" ht="15.75">
      <c r="A11" s="382">
        <v>6</v>
      </c>
      <c r="B11" s="383" t="s">
        <v>17</v>
      </c>
      <c r="C11" s="401">
        <f ca="1">+BCR!C11/'Aggregate As% of GSDP'!K11*100</f>
        <v>8.9779147406266135E-2</v>
      </c>
      <c r="D11" s="401">
        <f ca="1">+BCR!D11/'Aggregate As% of GSDP'!L11*100</f>
        <v>-0.56494792115003767</v>
      </c>
      <c r="E11" s="401">
        <f ca="1">+BCR!E11/'Aggregate As% of GSDP'!M11*100</f>
        <v>-3.4073491226689749</v>
      </c>
      <c r="F11" s="401">
        <f ca="1">+BCR!F11/'Aggregate As% of GSDP'!N11*100</f>
        <v>-0.97915380922992523</v>
      </c>
      <c r="G11" s="401">
        <f ca="1">+BCR!G11/'Aggregate As% of GSDP'!O11*100</f>
        <v>-1.4248720448452352</v>
      </c>
      <c r="H11" s="363">
        <f ca="1">+BCR!H11/'Aggregate As% of GSDP'!P11*100</f>
        <v>0.5213675213675214</v>
      </c>
      <c r="I11" s="363">
        <f ca="1">+BCR!I11/'Aggregate As% of GSDP'!Q11*100</f>
        <v>0.53489042675893883</v>
      </c>
      <c r="J11" s="401">
        <f ca="1">+BCR!C11/'Aggregate As% of GSDP'!D11*100</f>
        <v>1.0153699594549077</v>
      </c>
      <c r="K11" s="401">
        <f ca="1">+BCR!D11/'Aggregate As% of GSDP'!E11*100</f>
        <v>-5.0908329325617743</v>
      </c>
      <c r="L11" s="401">
        <f ca="1">+BCR!E11/'Aggregate As% of GSDP'!F11*100</f>
        <v>-38.775766041655473</v>
      </c>
      <c r="M11" s="401">
        <f ca="1">+BCR!F11/'Aggregate As% of GSDP'!G11*100</f>
        <v>-11.951654348681291</v>
      </c>
      <c r="N11" s="401">
        <f ca="1">+BCR!G11/'Aggregate As% of GSDP'!H11*100</f>
        <v>-7.5544902132443426</v>
      </c>
      <c r="O11" s="401">
        <f ca="1">+BCR!H11/'Aggregate As% of GSDP'!I11*100</f>
        <v>3.0726483921810765</v>
      </c>
      <c r="P11" s="401">
        <f ca="1">+BCR!I11/'Aggregate As% of GSDP'!J11*100</f>
        <v>2.6812816188870152</v>
      </c>
    </row>
    <row r="12" spans="1:16" ht="15.75">
      <c r="A12" s="382">
        <v>7</v>
      </c>
      <c r="B12" s="383" t="s">
        <v>18</v>
      </c>
      <c r="C12" s="401">
        <f ca="1">+BCR!C12/'Aggregate As% of GSDP'!K12*100</f>
        <v>-1.9436582809224339</v>
      </c>
      <c r="D12" s="401">
        <f ca="1">+BCR!D12/'Aggregate As% of GSDP'!L12*100</f>
        <v>-4.320078654140266</v>
      </c>
      <c r="E12" s="401">
        <f ca="1">+BCR!E12/'Aggregate As% of GSDP'!M12*100</f>
        <v>-11.653992395437262</v>
      </c>
      <c r="F12" s="401">
        <f ca="1">+BCR!F12/'Aggregate As% of GSDP'!N12*100</f>
        <v>-6.8922980588603631</v>
      </c>
      <c r="G12" s="401">
        <f ca="1">+BCR!G12/'Aggregate As% of GSDP'!O12*100</f>
        <v>-8.8594053903862182</v>
      </c>
      <c r="H12" s="363">
        <f ca="1">+BCR!H12/'Aggregate As% of GSDP'!P12*100</f>
        <v>-6.3139202781572079</v>
      </c>
      <c r="I12" s="363">
        <f ca="1">+BCR!I12/'Aggregate As% of GSDP'!Q12*100</f>
        <v>-6.0382734365535686</v>
      </c>
      <c r="J12" s="401">
        <f ca="1">+BCR!C12/'Aggregate As% of GSDP'!D12*100</f>
        <v>-7.1168811230413533</v>
      </c>
      <c r="K12" s="401">
        <f ca="1">+BCR!D12/'Aggregate As% of GSDP'!E12*100</f>
        <v>-23.272209406336806</v>
      </c>
      <c r="L12" s="401">
        <f ca="1">+BCR!E12/'Aggregate As% of GSDP'!F12*100</f>
        <v>-65.76406471269793</v>
      </c>
      <c r="M12" s="401">
        <f ca="1">+BCR!F12/'Aggregate As% of GSDP'!G12*100</f>
        <v>-34.825115087086516</v>
      </c>
      <c r="N12" s="401">
        <f ca="1">+BCR!G12/'Aggregate As% of GSDP'!H12*100</f>
        <v>-41.139015940804207</v>
      </c>
      <c r="O12" s="401">
        <f ca="1">+BCR!H12/'Aggregate As% of GSDP'!I12*100</f>
        <v>-21.937939009026113</v>
      </c>
      <c r="P12" s="401">
        <f ca="1">+BCR!I12/'Aggregate As% of GSDP'!J12*100</f>
        <v>-22.621999999999996</v>
      </c>
    </row>
    <row r="13" spans="1:16" ht="15.75">
      <c r="A13" s="382">
        <v>8</v>
      </c>
      <c r="B13" s="383" t="s">
        <v>19</v>
      </c>
      <c r="C13" s="401">
        <f ca="1">+BCR!C13/'Aggregate As% of GSDP'!K13*100</f>
        <v>-3.2208049535603718</v>
      </c>
      <c r="D13" s="401">
        <f ca="1">+BCR!D13/'Aggregate As% of GSDP'!L13*100</f>
        <v>-3.6632047477744809</v>
      </c>
      <c r="E13" s="401">
        <f ca="1">+BCR!E13/'Aggregate As% of GSDP'!M13*100</f>
        <v>-6.5415597986130907</v>
      </c>
      <c r="F13" s="401">
        <f ca="1">+BCR!F13/'Aggregate As% of GSDP'!N13*100</f>
        <v>-5.9998299175099961</v>
      </c>
      <c r="G13" s="401">
        <f ca="1">+BCR!G13/'Aggregate As% of GSDP'!O13*100</f>
        <v>-7.6620845565401803</v>
      </c>
      <c r="H13" s="363">
        <f ca="1">+BCR!H13/'Aggregate As% of GSDP'!P13*100</f>
        <v>-7.5425431499460629</v>
      </c>
      <c r="I13" s="363">
        <f ca="1">+BCR!I13/'Aggregate As% of GSDP'!Q13*100</f>
        <v>-8.6231939716791093</v>
      </c>
      <c r="J13" s="401">
        <f ca="1">+BCR!C13/'Aggregate As% of GSDP'!D13*100</f>
        <v>-30.824661625619264</v>
      </c>
      <c r="K13" s="401">
        <f ca="1">+BCR!D13/'Aggregate As% of GSDP'!E13*100</f>
        <v>-33.331404767414938</v>
      </c>
      <c r="L13" s="401">
        <f ca="1">+BCR!E13/'Aggregate As% of GSDP'!F13*100</f>
        <v>-66.882606035294927</v>
      </c>
      <c r="M13" s="401">
        <f ca="1">+BCR!F13/'Aggregate As% of GSDP'!G13*100</f>
        <v>-46.320101894770048</v>
      </c>
      <c r="N13" s="401">
        <f ca="1">+BCR!G13/'Aggregate As% of GSDP'!H13*100</f>
        <v>-78.675477438521725</v>
      </c>
      <c r="O13" s="401">
        <f ca="1">+BCR!H13/'Aggregate As% of GSDP'!I13*100</f>
        <v>-70.752485516962224</v>
      </c>
      <c r="P13" s="401">
        <f ca="1">+BCR!I13/'Aggregate As% of GSDP'!J13*100</f>
        <v>-72.017499999999998</v>
      </c>
    </row>
    <row r="14" spans="1:16" ht="15.75">
      <c r="A14" s="382">
        <v>9</v>
      </c>
      <c r="B14" s="383" t="s">
        <v>20</v>
      </c>
      <c r="C14" s="401">
        <f ca="1">+BCR!C14/'Aggregate As% of GSDP'!K14*100</f>
        <v>4.5865921787709496</v>
      </c>
      <c r="D14" s="401">
        <f ca="1">+BCR!D14/'Aggregate As% of GSDP'!L14*100</f>
        <v>1.8408175905853204</v>
      </c>
      <c r="E14" s="401">
        <f ca="1">+BCR!E14/'Aggregate As% of GSDP'!M14*100</f>
        <v>-2.9642915375835646</v>
      </c>
      <c r="F14" s="401">
        <f ca="1">+BCR!F14/'Aggregate As% of GSDP'!N14*100</f>
        <v>-2.7207231516459793</v>
      </c>
      <c r="G14" s="401">
        <f ca="1">+BCR!G14/'Aggregate As% of GSDP'!O14*100</f>
        <v>-1.9495133820798483</v>
      </c>
      <c r="H14" s="363">
        <f ca="1">+BCR!H14/'Aggregate As% of GSDP'!P14*100</f>
        <v>-2.9581199156372402</v>
      </c>
      <c r="I14" s="363">
        <f ca="1">+BCR!I14/'Aggregate As% of GSDP'!Q14*100</f>
        <v>-2.1812849316622307</v>
      </c>
      <c r="J14" s="401">
        <f ca="1">+BCR!C14/'Aggregate As% of GSDP'!D14*100</f>
        <v>14.918747728570681</v>
      </c>
      <c r="K14" s="401">
        <f ca="1">+BCR!D14/'Aggregate As% of GSDP'!E14*100</f>
        <v>6.3770665922818601</v>
      </c>
      <c r="L14" s="401">
        <f ca="1">+BCR!E14/'Aggregate As% of GSDP'!F14*100</f>
        <v>-15.61252093262914</v>
      </c>
      <c r="M14" s="401">
        <f ca="1">+BCR!F14/'Aggregate As% of GSDP'!G14*100</f>
        <v>-29.935426408372301</v>
      </c>
      <c r="N14" s="401">
        <f ca="1">+BCR!G14/'Aggregate As% of GSDP'!H14*100</f>
        <v>-11.21295547396527</v>
      </c>
      <c r="O14" s="401">
        <f ca="1">+BCR!H14/'Aggregate As% of GSDP'!I14*100</f>
        <v>-15.900968504702162</v>
      </c>
      <c r="P14" s="401">
        <f ca="1">+BCR!I14/'Aggregate As% of GSDP'!J14*100</f>
        <v>-14.04271844660194</v>
      </c>
    </row>
    <row r="15" spans="1:16" ht="15.75">
      <c r="A15" s="382">
        <v>10</v>
      </c>
      <c r="B15" s="383" t="s">
        <v>21</v>
      </c>
      <c r="C15" s="401">
        <f ca="1">+BCR!C15/'Aggregate As% of GSDP'!K15*100</f>
        <v>1.7100957870645079</v>
      </c>
      <c r="D15" s="401">
        <f ca="1">+BCR!D15/'Aggregate As% of GSDP'!L15*100</f>
        <v>0.7100862005452</v>
      </c>
      <c r="E15" s="401">
        <f ca="1">+BCR!E15/'Aggregate As% of GSDP'!M15*100</f>
        <v>-4.9946114393300007</v>
      </c>
      <c r="F15" s="401">
        <f ca="1">+BCR!F15/'Aggregate As% of GSDP'!N15*100</f>
        <v>-2.3749720170136555</v>
      </c>
      <c r="G15" s="401">
        <f ca="1">+BCR!G15/'Aggregate As% of GSDP'!O15*100</f>
        <v>-4.9844152130397479</v>
      </c>
      <c r="H15" s="363">
        <f ca="1">+BCR!H15/'Aggregate As% of GSDP'!P15*100</f>
        <v>-3.9839027457556067</v>
      </c>
      <c r="I15" s="363">
        <f ca="1">+BCR!I15/'Aggregate As% of GSDP'!Q15*100</f>
        <v>-4.7484339892290723</v>
      </c>
      <c r="J15" s="401">
        <f ca="1">+BCR!C15/'Aggregate As% of GSDP'!D15*100</f>
        <v>16.853519573607795</v>
      </c>
      <c r="K15" s="401">
        <f ca="1">+BCR!D15/'Aggregate As% of GSDP'!E15*100</f>
        <v>5.2740445650746395</v>
      </c>
      <c r="L15" s="401">
        <f ca="1">+BCR!E15/'Aggregate As% of GSDP'!F15*100</f>
        <v>-46.505667220794926</v>
      </c>
      <c r="M15" s="401">
        <f ca="1">+BCR!F15/'Aggregate As% of GSDP'!G15*100</f>
        <v>-22.815053763440861</v>
      </c>
      <c r="N15" s="401">
        <f ca="1">+BCR!G15/'Aggregate As% of GSDP'!H15*100</f>
        <v>-53.053884317644552</v>
      </c>
      <c r="O15" s="401">
        <f ca="1">+BCR!H15/'Aggregate As% of GSDP'!I15*100</f>
        <v>-44.280642245436155</v>
      </c>
      <c r="P15" s="401">
        <f ca="1">+BCR!I15/'Aggregate As% of GSDP'!J15*100</f>
        <v>-52.2316</v>
      </c>
    </row>
    <row r="16" spans="1:16" ht="15.75">
      <c r="A16" s="382">
        <v>11</v>
      </c>
      <c r="B16" s="383" t="s">
        <v>22</v>
      </c>
      <c r="C16" s="401">
        <f ca="1">+BCR!C16/'Aggregate As% of GSDP'!K16*100</f>
        <v>1.4551738543440322</v>
      </c>
      <c r="D16" s="401">
        <f ca="1">+BCR!D16/'Aggregate As% of GSDP'!L16*100</f>
        <v>0.53508255243195124</v>
      </c>
      <c r="E16" s="401">
        <f ca="1">+BCR!E16/'Aggregate As% of GSDP'!M16*100</f>
        <v>-1.8918704934257031</v>
      </c>
      <c r="F16" s="401">
        <f ca="1">+BCR!F16/'Aggregate As% of GSDP'!N16*100</f>
        <v>-0.40686443806643069</v>
      </c>
      <c r="G16" s="401">
        <f ca="1">+BCR!G16/'Aggregate As% of GSDP'!O16*100</f>
        <v>0.55915057934818113</v>
      </c>
      <c r="H16" s="363">
        <f ca="1">+BCR!H16/'Aggregate As% of GSDP'!P16*100</f>
        <v>-1.133891433686095</v>
      </c>
      <c r="I16" s="363">
        <f ca="1">+BCR!I16/'Aggregate As% of GSDP'!Q16*100</f>
        <v>-1.0767622528559289</v>
      </c>
      <c r="J16" s="401">
        <f ca="1">+BCR!C16/'Aggregate As% of GSDP'!D16*100</f>
        <v>13.847783409530701</v>
      </c>
      <c r="K16" s="401">
        <f ca="1">+BCR!D16/'Aggregate As% of GSDP'!E16*100</f>
        <v>7.3215451228502477</v>
      </c>
      <c r="L16" s="401">
        <f ca="1">+BCR!E16/'Aggregate As% of GSDP'!F16*100</f>
        <v>-28.205221165593215</v>
      </c>
      <c r="M16" s="401">
        <f ca="1">+BCR!F16/'Aggregate As% of GSDP'!G16*100</f>
        <v>-5.3315883061245763</v>
      </c>
      <c r="N16" s="401">
        <f ca="1">+BCR!G16/'Aggregate As% of GSDP'!H16*100</f>
        <v>9.8332364292245824</v>
      </c>
      <c r="O16" s="401">
        <f ca="1">+BCR!H16/'Aggregate As% of GSDP'!I16*100</f>
        <v>-21.358510775455962</v>
      </c>
      <c r="P16" s="401">
        <f ca="1">+BCR!I16/'Aggregate As% of GSDP'!J16*100</f>
        <v>-16.844235294117645</v>
      </c>
    </row>
    <row r="17" spans="1:16" s="300" customFormat="1">
      <c r="A17" s="385"/>
      <c r="B17" s="379" t="s">
        <v>229</v>
      </c>
      <c r="C17" s="403">
        <f ca="1">+BCR!C17/'Aggregate As% of GSDP'!K17*100</f>
        <v>-1.1177565334635449</v>
      </c>
      <c r="D17" s="403">
        <f ca="1">+BCR!D17/'Aggregate As% of GSDP'!L17*100</f>
        <v>-1.286836821446014</v>
      </c>
      <c r="E17" s="403">
        <f ca="1">+BCR!E17/'Aggregate As% of GSDP'!M17*100</f>
        <v>-4.3531344308729354</v>
      </c>
      <c r="F17" s="403">
        <f ca="1">+BCR!F17/'Aggregate As% of GSDP'!N17*100</f>
        <v>-3.1800552090682963</v>
      </c>
      <c r="G17" s="403">
        <f ca="1">+BCR!G17/'Aggregate As% of GSDP'!O17*100</f>
        <v>-4.1724621892560005</v>
      </c>
      <c r="H17" s="366">
        <f ca="1">+BCR!H17/'Aggregate As% of GSDP'!P17*100</f>
        <v>-3.5627400653871129</v>
      </c>
      <c r="I17" s="366">
        <f ca="1">+BCR!I17/'Aggregate As% of GSDP'!Q17*100</f>
        <v>-3.0953170621584283</v>
      </c>
      <c r="J17" s="403">
        <f ca="1">+BCR!C17/'Aggregate As% of GSDP'!D17*100</f>
        <v>-11.095572040973101</v>
      </c>
      <c r="K17" s="403">
        <f ca="1">+BCR!D17/'Aggregate As% of GSDP'!E17*100</f>
        <v>-12.803930088851331</v>
      </c>
      <c r="L17" s="403">
        <f ca="1">+BCR!E17/'Aggregate As% of GSDP'!F17*100</f>
        <v>-48.085207324026413</v>
      </c>
      <c r="M17" s="403">
        <f ca="1">+BCR!F17/'Aggregate As% of GSDP'!G17*100</f>
        <v>-36.063289522618746</v>
      </c>
      <c r="N17" s="403">
        <f ca="1">+BCR!G17/'Aggregate As% of GSDP'!H17*100</f>
        <v>-49.303570088267968</v>
      </c>
      <c r="O17" s="403">
        <f ca="1">+BCR!H17/'Aggregate As% of GSDP'!I17*100</f>
        <v>-41.056546145088433</v>
      </c>
      <c r="P17" s="403">
        <f ca="1">+BCR!I17/'Aggregate As% of GSDP'!J17*100</f>
        <v>-33.896980797190388</v>
      </c>
    </row>
    <row r="18" spans="1:16" ht="15.75">
      <c r="A18" s="385" t="s">
        <v>230</v>
      </c>
      <c r="B18" s="379" t="s">
        <v>310</v>
      </c>
      <c r="C18" s="401"/>
      <c r="D18" s="401"/>
      <c r="E18" s="401"/>
      <c r="F18" s="401"/>
      <c r="G18" s="401"/>
      <c r="H18" s="363"/>
      <c r="I18" s="363"/>
      <c r="J18" s="401"/>
      <c r="K18" s="401"/>
      <c r="L18" s="401"/>
      <c r="M18" s="401"/>
      <c r="N18" s="401"/>
      <c r="O18" s="401"/>
      <c r="P18" s="401"/>
    </row>
    <row r="19" spans="1:16" ht="15.75">
      <c r="A19" s="382">
        <v>1</v>
      </c>
      <c r="B19" s="383" t="s">
        <v>25</v>
      </c>
      <c r="C19" s="401">
        <f ca="1">+BCR!C19/'Aggregate As% of GSDP'!K19*100</f>
        <v>2.3030758224076444</v>
      </c>
      <c r="D19" s="401">
        <f ca="1">+BCR!D19/'Aggregate As% of GSDP'!L19*100</f>
        <v>3.2404250582873479</v>
      </c>
      <c r="E19" s="401">
        <f ca="1">+BCR!E19/'Aggregate As% of GSDP'!M19*100</f>
        <v>2.2546142795725985</v>
      </c>
      <c r="F19" s="401">
        <f ca="1">+BCR!F19/'Aggregate As% of GSDP'!N19*100</f>
        <v>2.7688218828906304</v>
      </c>
      <c r="G19" s="401">
        <f ca="1">+BCR!G19/'Aggregate As% of GSDP'!O19*100</f>
        <v>2.4076898000579541</v>
      </c>
      <c r="H19" s="363">
        <f ca="1">+BCR!H19/'Aggregate As% of GSDP'!P19*100</f>
        <v>2.3722079137444014</v>
      </c>
      <c r="I19" s="363">
        <f ca="1">+BCR!I19/'Aggregate As% of GSDP'!Q19*100</f>
        <v>2.6928807367699132</v>
      </c>
      <c r="J19" s="401">
        <f ca="1">+BCR!C19/'Aggregate As% of GSDP'!D19*100</f>
        <v>30.91425682552228</v>
      </c>
      <c r="K19" s="401">
        <f ca="1">+BCR!D19/'Aggregate As% of GSDP'!E19*100</f>
        <v>45.148709316292027</v>
      </c>
      <c r="L19" s="401">
        <f ca="1">+BCR!E19/'Aggregate As% of GSDP'!F19*100</f>
        <v>36.560784213703343</v>
      </c>
      <c r="M19" s="401">
        <f ca="1">+BCR!F19/'Aggregate As% of GSDP'!G19*100</f>
        <v>51.161257383381276</v>
      </c>
      <c r="N19" s="401">
        <f ca="1">+BCR!G19/'Aggregate As% of GSDP'!H19*100</f>
        <v>37.100372093023253</v>
      </c>
      <c r="O19" s="401">
        <f ca="1">+BCR!H19/'Aggregate As% of GSDP'!I19*100</f>
        <v>40.568705187722777</v>
      </c>
      <c r="P19" s="401">
        <f ca="1">+BCR!I19/'Aggregate As% of GSDP'!J19*100</f>
        <v>43.5618679245283</v>
      </c>
    </row>
    <row r="20" spans="1:16" ht="15.75">
      <c r="A20" s="382">
        <v>2</v>
      </c>
      <c r="B20" s="383" t="s">
        <v>26</v>
      </c>
      <c r="C20" s="401">
        <f ca="1">+BCR!C20/'Aggregate As% of GSDP'!K20*100</f>
        <v>4.5075914848698027</v>
      </c>
      <c r="D20" s="401">
        <f ca="1">+BCR!D20/'Aggregate As% of GSDP'!L20*100</f>
        <v>4.4544310825912463</v>
      </c>
      <c r="E20" s="401">
        <f ca="1">+BCR!E20/'Aggregate As% of GSDP'!M20*100</f>
        <v>3.708373229235721</v>
      </c>
      <c r="F20" s="401">
        <f ca="1">+BCR!F20/'Aggregate As% of GSDP'!N20*100</f>
        <v>4.6219179691515411</v>
      </c>
      <c r="G20" s="401">
        <f ca="1">+BCR!G20/'Aggregate As% of GSDP'!O20*100</f>
        <v>2.8713139832118988</v>
      </c>
      <c r="H20" s="363">
        <f ca="1">+BCR!H20/'Aggregate As% of GSDP'!P20*100</f>
        <v>3.0920014649914807</v>
      </c>
      <c r="I20" s="363">
        <f ca="1">+BCR!I20/'Aggregate As% of GSDP'!Q20*100</f>
        <v>3.827386333710705</v>
      </c>
      <c r="J20" s="401">
        <f ca="1">+BCR!C20/'Aggregate As% of GSDP'!D20*100</f>
        <v>49.100628774129923</v>
      </c>
      <c r="K20" s="401">
        <f ca="1">+BCR!D20/'Aggregate As% of GSDP'!E20*100</f>
        <v>46.284885907608711</v>
      </c>
      <c r="L20" s="401">
        <f ca="1">+BCR!E20/'Aggregate As% of GSDP'!F20*100</f>
        <v>36.870755273697732</v>
      </c>
      <c r="M20" s="401">
        <f ca="1">+BCR!F20/'Aggregate As% of GSDP'!G20*100</f>
        <v>48.892065946322667</v>
      </c>
      <c r="N20" s="401">
        <f ca="1">+BCR!G20/'Aggregate As% of GSDP'!H20*100</f>
        <v>29.58865132083335</v>
      </c>
      <c r="O20" s="401">
        <f ca="1">+BCR!H20/'Aggregate As% of GSDP'!I20*100</f>
        <v>38.521295024429108</v>
      </c>
      <c r="P20" s="401">
        <f ca="1">+BCR!I20/'Aggregate As% of GSDP'!J20*100</f>
        <v>41.463764705882355</v>
      </c>
    </row>
    <row r="21" spans="1:16" ht="15.75">
      <c r="A21" s="382">
        <v>3</v>
      </c>
      <c r="B21" s="383" t="s">
        <v>27</v>
      </c>
      <c r="C21" s="401">
        <f ca="1">+BCR!C21/'Aggregate As% of GSDP'!K21*100</f>
        <v>5.7647872406703629</v>
      </c>
      <c r="D21" s="401">
        <f ca="1">+BCR!D21/'Aggregate As% of GSDP'!L21*100</f>
        <v>5.4410860867054405</v>
      </c>
      <c r="E21" s="401">
        <f ca="1">+BCR!E21/'Aggregate As% of GSDP'!M21*100</f>
        <v>5.4624109335372966</v>
      </c>
      <c r="F21" s="401">
        <f ca="1">+BCR!F21/'Aggregate As% of GSDP'!N21*100</f>
        <v>6.3765868363758162</v>
      </c>
      <c r="G21" s="401">
        <f ca="1">+BCR!G21/'Aggregate As% of GSDP'!O21*100</f>
        <v>5.8391835751700887</v>
      </c>
      <c r="H21" s="363">
        <f ca="1">+BCR!H21/'Aggregate As% of GSDP'!P21*100</f>
        <v>6.1477206892286862</v>
      </c>
      <c r="I21" s="363">
        <f ca="1">+BCR!I21/'Aggregate As% of GSDP'!Q21*100</f>
        <v>6.5591977767800822</v>
      </c>
      <c r="J21" s="401">
        <f ca="1">+BCR!C21/'Aggregate As% of GSDP'!D21*100</f>
        <v>76.494328891240301</v>
      </c>
      <c r="K21" s="401">
        <f ca="1">+BCR!D21/'Aggregate As% of GSDP'!E21*100</f>
        <v>80.50954655940869</v>
      </c>
      <c r="L21" s="401">
        <f ca="1">+BCR!E21/'Aggregate As% of GSDP'!F21*100</f>
        <v>57.164839169353229</v>
      </c>
      <c r="M21" s="401">
        <f ca="1">+BCR!F21/'Aggregate As% of GSDP'!G21*100</f>
        <v>67.185510716708848</v>
      </c>
      <c r="N21" s="401">
        <f ca="1">+BCR!G21/'Aggregate As% of GSDP'!H21*100</f>
        <v>45.645341770573125</v>
      </c>
      <c r="O21" s="401">
        <f ca="1">+BCR!H21/'Aggregate As% of GSDP'!I21*100</f>
        <v>47.485038039054203</v>
      </c>
      <c r="P21" s="401">
        <f ca="1">+BCR!I21/'Aggregate As% of GSDP'!J21*100</f>
        <v>45.709425742574254</v>
      </c>
    </row>
    <row r="22" spans="1:16" ht="15.75">
      <c r="A22" s="382">
        <v>4</v>
      </c>
      <c r="B22" s="383" t="s">
        <v>28</v>
      </c>
      <c r="C22" s="401">
        <f ca="1">+BCR!C22/'Aggregate As% of GSDP'!K22*100</f>
        <v>3.075185279836437</v>
      </c>
      <c r="D22" s="401">
        <f ca="1">+BCR!D22/'Aggregate As% of GSDP'!L22*100</f>
        <v>2.101518847879122</v>
      </c>
      <c r="E22" s="401">
        <f ca="1">+BCR!E22/'Aggregate As% of GSDP'!M22*100</f>
        <v>3.5191924740781437</v>
      </c>
      <c r="F22" s="401">
        <f ca="1">+BCR!F22/'Aggregate As% of GSDP'!N22*100</f>
        <v>3.5498288945097447</v>
      </c>
      <c r="G22" s="401">
        <f ca="1">+BCR!G22/'Aggregate As% of GSDP'!O22*100</f>
        <v>5.1333210270645369</v>
      </c>
      <c r="H22" s="363">
        <f ca="1">+BCR!H22/'Aggregate As% of GSDP'!P22*100</f>
        <v>5.6558558558558554</v>
      </c>
      <c r="I22" s="363">
        <f ca="1">+BCR!I22/'Aggregate As% of GSDP'!Q22*100</f>
        <v>5.4460575921723047</v>
      </c>
      <c r="J22" s="401">
        <f ca="1">+BCR!C22/'Aggregate As% of GSDP'!D22*100</f>
        <v>47.559047649160554</v>
      </c>
      <c r="K22" s="401">
        <f ca="1">+BCR!D22/'Aggregate As% of GSDP'!E22*100</f>
        <v>32.889944554073843</v>
      </c>
      <c r="L22" s="401">
        <f ca="1">+BCR!E22/'Aggregate As% of GSDP'!F22*100</f>
        <v>45.978352046148821</v>
      </c>
      <c r="M22" s="401">
        <f ca="1">+BCR!F22/'Aggregate As% of GSDP'!G22*100</f>
        <v>48.832125752179778</v>
      </c>
      <c r="N22" s="401">
        <f ca="1">+BCR!G22/'Aggregate As% of GSDP'!H22*100</f>
        <v>77.562940655893058</v>
      </c>
      <c r="O22" s="401">
        <f ca="1">+BCR!H22/'Aggregate As% of GSDP'!I22*100</f>
        <v>62.630680504574812</v>
      </c>
      <c r="P22" s="401">
        <f ca="1">+BCR!I22/'Aggregate As% of GSDP'!J22*100</f>
        <v>45.396182396606584</v>
      </c>
    </row>
    <row r="23" spans="1:16" ht="15.75">
      <c r="A23" s="382">
        <v>5</v>
      </c>
      <c r="B23" s="383" t="s">
        <v>29</v>
      </c>
      <c r="C23" s="401">
        <f ca="1">+BCR!C23/'Aggregate As% of GSDP'!K23*100</f>
        <v>2.2636955828537606</v>
      </c>
      <c r="D23" s="401">
        <f ca="1">+BCR!D23/'Aggregate As% of GSDP'!L23*100</f>
        <v>2.2525033160103503</v>
      </c>
      <c r="E23" s="401">
        <f ca="1">+BCR!E23/'Aggregate As% of GSDP'!M23*100</f>
        <v>0.87074910379305193</v>
      </c>
      <c r="F23" s="401">
        <f ca="1">+BCR!F23/'Aggregate As% of GSDP'!N23*100</f>
        <v>1.7358006132087229</v>
      </c>
      <c r="G23" s="401">
        <f ca="1">+BCR!G23/'Aggregate As% of GSDP'!O23*100</f>
        <v>2.3931474713360901</v>
      </c>
      <c r="H23" s="363">
        <f ca="1">+BCR!H23/'Aggregate As% of GSDP'!P23*100</f>
        <v>2.8348740925589837</v>
      </c>
      <c r="I23" s="363">
        <f ca="1">+BCR!I23/'Aggregate As% of GSDP'!Q23*100</f>
        <v>3.0830650067499423</v>
      </c>
      <c r="J23" s="401">
        <f ca="1">+BCR!C23/'Aggregate As% of GSDP'!D23*100</f>
        <v>47.281657228108656</v>
      </c>
      <c r="K23" s="401">
        <f ca="1">+BCR!D23/'Aggregate As% of GSDP'!E23*100</f>
        <v>37.770830807599715</v>
      </c>
      <c r="L23" s="401">
        <f ca="1">+BCR!E23/'Aggregate As% of GSDP'!F23*100</f>
        <v>16.629092775406402</v>
      </c>
      <c r="M23" s="401">
        <f ca="1">+BCR!F23/'Aggregate As% of GSDP'!G23*100</f>
        <v>32.854553076123224</v>
      </c>
      <c r="N23" s="401">
        <f ca="1">+BCR!G23/'Aggregate As% of GSDP'!H23*100</f>
        <v>45.794755451592067</v>
      </c>
      <c r="O23" s="401">
        <f ca="1">+BCR!H23/'Aggregate As% of GSDP'!I23*100</f>
        <v>36.997825216772227</v>
      </c>
      <c r="P23" s="401">
        <f ca="1">+BCR!I23/'Aggregate As% of GSDP'!J23*100</f>
        <v>40.598932203389829</v>
      </c>
    </row>
    <row r="24" spans="1:16" ht="15.75">
      <c r="A24" s="382">
        <v>6</v>
      </c>
      <c r="B24" s="383" t="s">
        <v>30</v>
      </c>
      <c r="C24" s="401">
        <f ca="1">+BCR!C24/'Aggregate As% of GSDP'!K24*100</f>
        <v>2.8032204015937094</v>
      </c>
      <c r="D24" s="401">
        <f ca="1">+BCR!D24/'Aggregate As% of GSDP'!L24*100</f>
        <v>0.28758177096459603</v>
      </c>
      <c r="E24" s="401">
        <f ca="1">+BCR!E24/'Aggregate As% of GSDP'!M24*100</f>
        <v>-8.4937388193202137E-2</v>
      </c>
      <c r="F24" s="401">
        <f ca="1">+BCR!F24/'Aggregate As% of GSDP'!N24*100</f>
        <v>0.85194592914615475</v>
      </c>
      <c r="G24" s="401">
        <f ca="1">+BCR!G24/'Aggregate As% of GSDP'!O24*100</f>
        <v>0.81989939031457926</v>
      </c>
      <c r="H24" s="363">
        <f ca="1">+BCR!H24/'Aggregate As% of GSDP'!P24*100</f>
        <v>0.82593746922412936</v>
      </c>
      <c r="I24" s="363">
        <f ca="1">+BCR!I24/'Aggregate As% of GSDP'!Q24*100</f>
        <v>1.6570398122648857</v>
      </c>
      <c r="J24" s="401">
        <f ca="1">+BCR!C24/'Aggregate As% of GSDP'!D24*100</f>
        <v>39.680006722940163</v>
      </c>
      <c r="K24" s="401">
        <f ca="1">+BCR!D24/'Aggregate As% of GSDP'!E24*100</f>
        <v>3.7901626181221615</v>
      </c>
      <c r="L24" s="401">
        <f ca="1">+BCR!E24/'Aggregate As% of GSDP'!F24*100</f>
        <v>-1.0036818932974958</v>
      </c>
      <c r="M24" s="401">
        <f ca="1">+BCR!F24/'Aggregate As% of GSDP'!G24*100</f>
        <v>14.122647947991048</v>
      </c>
      <c r="N24" s="401">
        <f ca="1">+BCR!G24/'Aggregate As% of GSDP'!H24*100</f>
        <v>12.161032392939632</v>
      </c>
      <c r="O24" s="401">
        <f ca="1">+BCR!H24/'Aggregate As% of GSDP'!I24*100</f>
        <v>12.128292060688883</v>
      </c>
      <c r="P24" s="401">
        <f ca="1">+BCR!I24/'Aggregate As% of GSDP'!J24*100</f>
        <v>24.048500295508273</v>
      </c>
    </row>
    <row r="25" spans="1:16" ht="15.75">
      <c r="A25" s="382">
        <v>7</v>
      </c>
      <c r="B25" s="383" t="s">
        <v>31</v>
      </c>
      <c r="C25" s="401">
        <f ca="1">+BCR!C25/'Aggregate As% of GSDP'!K25*100</f>
        <v>3.461834425253127</v>
      </c>
      <c r="D25" s="401">
        <f ca="1">+BCR!D25/'Aggregate As% of GSDP'!L25*100</f>
        <v>3.4707269289473084</v>
      </c>
      <c r="E25" s="401">
        <f ca="1">+BCR!E25/'Aggregate As% of GSDP'!M25*100</f>
        <v>2.0735134812812435</v>
      </c>
      <c r="F25" s="401">
        <f ca="1">+BCR!F25/'Aggregate As% of GSDP'!N25*100</f>
        <v>3.1539271375931994</v>
      </c>
      <c r="G25" s="401">
        <f ca="1">+BCR!G25/'Aggregate As% of GSDP'!O25*100</f>
        <v>4.1134886824054337</v>
      </c>
      <c r="H25" s="363">
        <f ca="1">+BCR!H25/'Aggregate As% of GSDP'!P25*100</f>
        <v>3.9697348310245273</v>
      </c>
      <c r="I25" s="363">
        <f ca="1">+BCR!I25/'Aggregate As% of GSDP'!Q25*100</f>
        <v>3.1533973193522469</v>
      </c>
      <c r="J25" s="401">
        <f ca="1">+BCR!C25/'Aggregate As% of GSDP'!D25*100</f>
        <v>52.607846438184815</v>
      </c>
      <c r="K25" s="401">
        <f ca="1">+BCR!D25/'Aggregate As% of GSDP'!E25*100</f>
        <v>45.700431794082675</v>
      </c>
      <c r="L25" s="401">
        <f ca="1">+BCR!E25/'Aggregate As% of GSDP'!F25*100</f>
        <v>30.925104386067638</v>
      </c>
      <c r="M25" s="401">
        <f ca="1">+BCR!F25/'Aggregate As% of GSDP'!G25*100</f>
        <v>47.08679604882154</v>
      </c>
      <c r="N25" s="401">
        <f ca="1">+BCR!G25/'Aggregate As% of GSDP'!H25*100</f>
        <v>58.032123395251908</v>
      </c>
      <c r="O25" s="401">
        <f ca="1">+BCR!H25/'Aggregate As% of GSDP'!I25*100</f>
        <v>40.154233128834363</v>
      </c>
      <c r="P25" s="401">
        <f ca="1">+BCR!I25/'Aggregate As% of GSDP'!J25*100</f>
        <v>35.514761904761905</v>
      </c>
    </row>
    <row r="26" spans="1:16" ht="15.75">
      <c r="A26" s="382">
        <v>8</v>
      </c>
      <c r="B26" s="383" t="s">
        <v>32</v>
      </c>
      <c r="C26" s="401">
        <f ca="1">+BCR!C26/'Aggregate As% of GSDP'!K26*100</f>
        <v>3.1571339361265793</v>
      </c>
      <c r="D26" s="401">
        <f ca="1">+BCR!D26/'Aggregate As% of GSDP'!L26*100</f>
        <v>2.7330564108668076</v>
      </c>
      <c r="E26" s="401">
        <f ca="1">+BCR!E26/'Aggregate As% of GSDP'!M26*100</f>
        <v>2.7959120779031177</v>
      </c>
      <c r="F26" s="401">
        <f ca="1">+BCR!F26/'Aggregate As% of GSDP'!N26*100</f>
        <v>3.5909094889053659</v>
      </c>
      <c r="G26" s="401">
        <f ca="1">+BCR!G26/'Aggregate As% of GSDP'!O26*100</f>
        <v>3.5686968482750112</v>
      </c>
      <c r="H26" s="363">
        <f ca="1">+BCR!H26/'Aggregate As% of GSDP'!P26*100</f>
        <v>2.9545492676863008</v>
      </c>
      <c r="I26" s="363">
        <f ca="1">+BCR!I26/'Aggregate As% of GSDP'!Q26*100</f>
        <v>2.9387279791044629</v>
      </c>
      <c r="J26" s="401">
        <f ca="1">+BCR!C26/'Aggregate As% of GSDP'!D26*100</f>
        <v>50.026787141469484</v>
      </c>
      <c r="K26" s="401">
        <f ca="1">+BCR!D26/'Aggregate As% of GSDP'!E26*100</f>
        <v>36.833277060743434</v>
      </c>
      <c r="L26" s="401">
        <f ca="1">+BCR!E26/'Aggregate As% of GSDP'!F26*100</f>
        <v>35.011773670347964</v>
      </c>
      <c r="M26" s="401">
        <f ca="1">+BCR!F26/'Aggregate As% of GSDP'!G26*100</f>
        <v>47.33828461127645</v>
      </c>
      <c r="N26" s="401">
        <f ca="1">+BCR!G26/'Aggregate As% of GSDP'!H26*100</f>
        <v>42.591770389917102</v>
      </c>
      <c r="O26" s="401">
        <f ca="1">+BCR!H26/'Aggregate As% of GSDP'!I26*100</f>
        <v>36.809201142328064</v>
      </c>
      <c r="P26" s="401">
        <f ca="1">+BCR!I26/'Aggregate As% of GSDP'!J26*100</f>
        <v>37.128702127659572</v>
      </c>
    </row>
    <row r="27" spans="1:16" ht="15.75">
      <c r="A27" s="382">
        <v>9</v>
      </c>
      <c r="B27" s="383" t="s">
        <v>33</v>
      </c>
      <c r="C27" s="401">
        <f ca="1">+BCR!C27/'Aggregate As% of GSDP'!K27*100</f>
        <v>-1.6967471922622344</v>
      </c>
      <c r="D27" s="401">
        <f ca="1">+BCR!D27/'Aggregate As% of GSDP'!L27*100</f>
        <v>-1.2980979817341698</v>
      </c>
      <c r="E27" s="401">
        <f ca="1">+BCR!E27/'Aggregate As% of GSDP'!M27*100</f>
        <v>-1.0482200354311872</v>
      </c>
      <c r="F27" s="401">
        <f ca="1">+BCR!F27/'Aggregate As% of GSDP'!N27*100</f>
        <v>-0.46086597187733369</v>
      </c>
      <c r="G27" s="401">
        <f ca="1">+BCR!G27/'Aggregate As% of GSDP'!O27*100</f>
        <v>-1.6363528851842155</v>
      </c>
      <c r="H27" s="363">
        <f ca="1">+BCR!H27/'Aggregate As% of GSDP'!P27*100</f>
        <v>-0.65241685702671903</v>
      </c>
      <c r="I27" s="363">
        <f ca="1">+BCR!I27/'Aggregate As% of GSDP'!Q27*100</f>
        <v>-0.57615529278859956</v>
      </c>
      <c r="J27" s="401">
        <f ca="1">+BCR!C27/'Aggregate As% of GSDP'!D27*100</f>
        <v>-51.100438318192474</v>
      </c>
      <c r="K27" s="401">
        <f ca="1">+BCR!D27/'Aggregate As% of GSDP'!E27*100</f>
        <v>-39.350158444889885</v>
      </c>
      <c r="L27" s="401">
        <f ca="1">+BCR!E27/'Aggregate As% of GSDP'!F27*100</f>
        <v>-28.473311758562382</v>
      </c>
      <c r="M27" s="401">
        <f ca="1">+BCR!F27/'Aggregate As% of GSDP'!G27*100</f>
        <v>-13.153074197300436</v>
      </c>
      <c r="N27" s="401">
        <f ca="1">+BCR!G27/'Aggregate As% of GSDP'!H27*100</f>
        <v>-41.951911069643657</v>
      </c>
      <c r="O27" s="401">
        <f ca="1">+BCR!H27/'Aggregate As% of GSDP'!I27*100</f>
        <v>-16.262089682163104</v>
      </c>
      <c r="P27" s="401">
        <f ca="1">+BCR!I27/'Aggregate As% of GSDP'!J27*100</f>
        <v>-13.592941176470585</v>
      </c>
    </row>
    <row r="28" spans="1:16" ht="15.75">
      <c r="A28" s="382">
        <v>10</v>
      </c>
      <c r="B28" s="383" t="s">
        <v>34</v>
      </c>
      <c r="C28" s="401">
        <f ca="1">+BCR!C28/'Aggregate As% of GSDP'!K28*100</f>
        <v>4.6462264443054524</v>
      </c>
      <c r="D28" s="401">
        <f ca="1">+BCR!D28/'Aggregate As% of GSDP'!L28*100</f>
        <v>3.4205884142014233</v>
      </c>
      <c r="E28" s="401">
        <f ca="1">+BCR!E28/'Aggregate As% of GSDP'!M28*100</f>
        <v>4.5597498648690218</v>
      </c>
      <c r="F28" s="401">
        <f ca="1">+BCR!F28/'Aggregate As% of GSDP'!N28*100</f>
        <v>4.5204255189904172</v>
      </c>
      <c r="G28" s="401">
        <f ca="1">+BCR!G28/'Aggregate As% of GSDP'!O28*100</f>
        <v>3.7451439022042545</v>
      </c>
      <c r="H28" s="363">
        <f ca="1">+BCR!H28/'Aggregate As% of GSDP'!P28*100</f>
        <v>4.2319471425769333</v>
      </c>
      <c r="I28" s="363">
        <f ca="1">+BCR!I28/'Aggregate As% of GSDP'!Q28*100</f>
        <v>3.8025304945664229</v>
      </c>
      <c r="J28" s="401">
        <f ca="1">+BCR!C28/'Aggregate As% of GSDP'!D28*100</f>
        <v>69.561170175778557</v>
      </c>
      <c r="K28" s="401">
        <f ca="1">+BCR!D28/'Aggregate As% of GSDP'!E28*100</f>
        <v>56.47419577832791</v>
      </c>
      <c r="L28" s="401">
        <f ca="1">+BCR!E28/'Aggregate As% of GSDP'!F28*100</f>
        <v>71.259831163586711</v>
      </c>
      <c r="M28" s="401">
        <f ca="1">+BCR!F28/'Aggregate As% of GSDP'!G28*100</f>
        <v>62.692091814437703</v>
      </c>
      <c r="N28" s="401">
        <f ca="1">+BCR!G28/'Aggregate As% of GSDP'!H28*100</f>
        <v>41.986362199184413</v>
      </c>
      <c r="O28" s="401">
        <f ca="1">+BCR!H28/'Aggregate As% of GSDP'!I28*100</f>
        <v>55.1923276396166</v>
      </c>
      <c r="P28" s="401">
        <f ca="1">+BCR!I28/'Aggregate As% of GSDP'!J28*100</f>
        <v>48.297492957746478</v>
      </c>
    </row>
    <row r="29" spans="1:16" ht="15.75">
      <c r="A29" s="382">
        <v>11</v>
      </c>
      <c r="B29" s="383" t="s">
        <v>35</v>
      </c>
      <c r="C29" s="401">
        <f ca="1">+BCR!C29/'Aggregate As% of GSDP'!K29*100</f>
        <v>1.3773095586120088</v>
      </c>
      <c r="D29" s="401">
        <f ca="1">+BCR!D29/'Aggregate As% of GSDP'!L29*100</f>
        <v>1.4206167627581507</v>
      </c>
      <c r="E29" s="401">
        <f ca="1">+BCR!E29/'Aggregate As% of GSDP'!M29*100</f>
        <v>0.28218138220113098</v>
      </c>
      <c r="F29" s="401">
        <f ca="1">+BCR!F29/'Aggregate As% of GSDP'!N29*100</f>
        <v>0.52152864592893733</v>
      </c>
      <c r="G29" s="401">
        <f ca="1">+BCR!G29/'Aggregate As% of GSDP'!O29*100</f>
        <v>1.3196612390667151</v>
      </c>
      <c r="H29" s="363">
        <f ca="1">+BCR!H29/'Aggregate As% of GSDP'!P29*100</f>
        <v>1.0548226634145488</v>
      </c>
      <c r="I29" s="363">
        <f ca="1">+BCR!I29/'Aggregate As% of GSDP'!Q29*100</f>
        <v>1.0959033608332234</v>
      </c>
      <c r="J29" s="401">
        <f ca="1">+BCR!C29/'Aggregate As% of GSDP'!D29*100</f>
        <v>50.544778942788071</v>
      </c>
      <c r="K29" s="401">
        <f ca="1">+BCR!D29/'Aggregate As% of GSDP'!E29*100</f>
        <v>45.98505862649445</v>
      </c>
      <c r="L29" s="401">
        <f ca="1">+BCR!E29/'Aggregate As% of GSDP'!F29*100</f>
        <v>8.0686384087062759</v>
      </c>
      <c r="M29" s="401">
        <f ca="1">+BCR!F29/'Aggregate As% of GSDP'!G29*100</f>
        <v>16.330152672333032</v>
      </c>
      <c r="N29" s="401">
        <f ca="1">+BCR!G29/'Aggregate As% of GSDP'!H29*100</f>
        <v>42.721145090783281</v>
      </c>
      <c r="O29" s="401">
        <f ca="1">+BCR!H29/'Aggregate As% of GSDP'!I29*100</f>
        <v>35.875995921537921</v>
      </c>
      <c r="P29" s="401">
        <f ca="1">+BCR!I29/'Aggregate As% of GSDP'!J29*100</f>
        <v>21.593403726708075</v>
      </c>
    </row>
    <row r="30" spans="1:16" ht="15.75">
      <c r="A30" s="382">
        <v>12</v>
      </c>
      <c r="B30" s="383" t="s">
        <v>74</v>
      </c>
      <c r="C30" s="401">
        <f ca="1">+BCR!C30/'Aggregate As% of GSDP'!K30*100</f>
        <v>3.7706237139718741</v>
      </c>
      <c r="D30" s="401">
        <f ca="1">+BCR!D30/'Aggregate As% of GSDP'!L30*100</f>
        <v>2.9308481322100328</v>
      </c>
      <c r="E30" s="401">
        <f ca="1">+BCR!E30/'Aggregate As% of GSDP'!M30*100</f>
        <v>1.6075873970517871</v>
      </c>
      <c r="F30" s="401">
        <f ca="1">+BCR!F30/'Aggregate As% of GSDP'!N30*100</f>
        <v>3.2419379334784586</v>
      </c>
      <c r="G30" s="401">
        <f ca="1">+BCR!G30/'Aggregate As% of GSDP'!O30*100</f>
        <v>1.7777829557793488</v>
      </c>
      <c r="H30" s="363">
        <f ca="1">+BCR!H30/'Aggregate As% of GSDP'!P30*100</f>
        <v>2.3604335725106571</v>
      </c>
      <c r="I30" s="363">
        <f ca="1">+BCR!I30/'Aggregate As% of GSDP'!Q30*100</f>
        <v>2.7184151948241069</v>
      </c>
      <c r="J30" s="401">
        <f ca="1">+BCR!C30/'Aggregate As% of GSDP'!D30*100</f>
        <v>81.915173117287537</v>
      </c>
      <c r="K30" s="401">
        <f ca="1">+BCR!D30/'Aggregate As% of GSDP'!E30*100</f>
        <v>55.798748387725425</v>
      </c>
      <c r="L30" s="401">
        <f ca="1">+BCR!E30/'Aggregate As% of GSDP'!F30*100</f>
        <v>27.854124527479357</v>
      </c>
      <c r="M30" s="401">
        <f ca="1">+BCR!F30/'Aggregate As% of GSDP'!G30*100</f>
        <v>56.983956077203032</v>
      </c>
      <c r="N30" s="401">
        <f ca="1">+BCR!G30/'Aggregate As% of GSDP'!H30*100</f>
        <v>33.114756944444437</v>
      </c>
      <c r="O30" s="401">
        <f ca="1">+BCR!H30/'Aggregate As% of GSDP'!I30*100</f>
        <v>34.002257817495718</v>
      </c>
      <c r="P30" s="401">
        <f ca="1">+BCR!I30/'Aggregate As% of GSDP'!J30*100</f>
        <v>36.466465116279068</v>
      </c>
    </row>
    <row r="31" spans="1:16" ht="15.75">
      <c r="A31" s="382">
        <v>13</v>
      </c>
      <c r="B31" s="383" t="s">
        <v>36</v>
      </c>
      <c r="C31" s="401">
        <f ca="1">+BCR!C31/'Aggregate As% of GSDP'!K31*100</f>
        <v>-2.4177148674833329</v>
      </c>
      <c r="D31" s="401">
        <f ca="1">+BCR!D31/'Aggregate As% of GSDP'!L31*100</f>
        <v>-2.1059130424789849</v>
      </c>
      <c r="E31" s="401">
        <f ca="1">+BCR!E31/'Aggregate As% of GSDP'!M31*100</f>
        <v>-2.9213569620253166</v>
      </c>
      <c r="F31" s="401">
        <f ca="1">+BCR!F31/'Aggregate As% of GSDP'!N31*100</f>
        <v>-1.9451380170111949</v>
      </c>
      <c r="G31" s="401">
        <f ca="1">+BCR!G31/'Aggregate As% of GSDP'!O31*100</f>
        <v>-3.2194517022189291</v>
      </c>
      <c r="H31" s="363">
        <f ca="1">+BCR!H31/'Aggregate As% of GSDP'!P31*100</f>
        <v>-1.8076559661656364</v>
      </c>
      <c r="I31" s="363">
        <f ca="1">+BCR!I31/'Aggregate As% of GSDP'!Q31*100</f>
        <v>-0.61704641244433855</v>
      </c>
      <c r="J31" s="401">
        <f ca="1">+BCR!C31/'Aggregate As% of GSDP'!D31*100</f>
        <v>-72.179048986098977</v>
      </c>
      <c r="K31" s="401">
        <f ca="1">+BCR!D31/'Aggregate As% of GSDP'!E31*100</f>
        <v>-55.331518695151338</v>
      </c>
      <c r="L31" s="401">
        <f ca="1">+BCR!E31/'Aggregate As% of GSDP'!F31*100</f>
        <v>-122.79546504178886</v>
      </c>
      <c r="M31" s="401">
        <f ca="1">+BCR!F31/'Aggregate As% of GSDP'!G31*100</f>
        <v>-57.659208938266424</v>
      </c>
      <c r="N31" s="401">
        <f ca="1">+BCR!G31/'Aggregate As% of GSDP'!H31*100</f>
        <v>-71.66354166666666</v>
      </c>
      <c r="O31" s="401">
        <f ca="1">+BCR!H31/'Aggregate As% of GSDP'!I31*100</f>
        <v>-40.281381985213002</v>
      </c>
      <c r="P31" s="401">
        <f ca="1">+BCR!I31/'Aggregate As% of GSDP'!J31*100</f>
        <v>-12.211472868217053</v>
      </c>
    </row>
    <row r="32" spans="1:16" ht="15.75">
      <c r="A32" s="382">
        <v>14</v>
      </c>
      <c r="B32" s="383" t="s">
        <v>37</v>
      </c>
      <c r="C32" s="401">
        <f ca="1">+BCR!C32/'Aggregate As% of GSDP'!K32*100</f>
        <v>1.3644608925070063</v>
      </c>
      <c r="D32" s="401">
        <f ca="1">+BCR!D32/'Aggregate As% of GSDP'!L32*100</f>
        <v>0.20406669870837321</v>
      </c>
      <c r="E32" s="401">
        <f ca="1">+BCR!E32/'Aggregate As% of GSDP'!M32*100</f>
        <v>-0.74120944230226649</v>
      </c>
      <c r="F32" s="401">
        <f ca="1">+BCR!F32/'Aggregate As% of GSDP'!N32*100</f>
        <v>1.5344586047501381</v>
      </c>
      <c r="G32" s="401">
        <f ca="1">+BCR!G32/'Aggregate As% of GSDP'!O32*100</f>
        <v>1.5402828799619248</v>
      </c>
      <c r="H32" s="363">
        <f ca="1">+BCR!H32/'Aggregate As% of GSDP'!P32*100</f>
        <v>2.1023028428949404</v>
      </c>
      <c r="I32" s="363">
        <f ca="1">+BCR!I32/'Aggregate As% of GSDP'!Q32*100</f>
        <v>2.0243610907788385</v>
      </c>
      <c r="J32" s="401">
        <f ca="1">+BCR!C32/'Aggregate As% of GSDP'!D32*100</f>
        <v>21.037024726677021</v>
      </c>
      <c r="K32" s="401">
        <f ca="1">+BCR!D32/'Aggregate As% of GSDP'!E32*100</f>
        <v>3.2377735901165146</v>
      </c>
      <c r="L32" s="401">
        <f ca="1">+BCR!E32/'Aggregate As% of GSDP'!F32*100</f>
        <v>-10.96978898555953</v>
      </c>
      <c r="M32" s="401">
        <f ca="1">+BCR!F32/'Aggregate As% of GSDP'!G32*100</f>
        <v>23.950932007680073</v>
      </c>
      <c r="N32" s="401">
        <f ca="1">+BCR!G32/'Aggregate As% of GSDP'!H32*100</f>
        <v>22.648078289869321</v>
      </c>
      <c r="O32" s="401">
        <f ca="1">+BCR!H32/'Aggregate As% of GSDP'!I32*100</f>
        <v>27.741637931034486</v>
      </c>
      <c r="P32" s="401">
        <f ca="1">+BCR!I32/'Aggregate As% of GSDP'!J32*100</f>
        <v>25.676296296296297</v>
      </c>
    </row>
    <row r="33" spans="1:16" ht="15.75">
      <c r="A33" s="382">
        <v>15</v>
      </c>
      <c r="B33" s="383" t="s">
        <v>38</v>
      </c>
      <c r="C33" s="401">
        <f ca="1">+BCR!C33/'Aggregate As% of GSDP'!K33*100</f>
        <v>2.8123163226621135</v>
      </c>
      <c r="D33" s="401">
        <f ca="1">+BCR!D33/'Aggregate As% of GSDP'!L33*100</f>
        <v>1.8186581816732135</v>
      </c>
      <c r="E33" s="401">
        <f ca="1">+BCR!E33/'Aggregate As% of GSDP'!M33*100</f>
        <v>1.1242128433941396</v>
      </c>
      <c r="F33" s="401">
        <f ca="1">+BCR!F33/'Aggregate As% of GSDP'!N33*100</f>
        <v>1.2568713070357809</v>
      </c>
      <c r="G33" s="401">
        <f ca="1">+BCR!G33/'Aggregate As% of GSDP'!O33*100</f>
        <v>0.76055144052715118</v>
      </c>
      <c r="H33" s="363">
        <f ca="1">+BCR!H33/'Aggregate As% of GSDP'!P33*100</f>
        <v>0.51077002017531847</v>
      </c>
      <c r="I33" s="363">
        <f ca="1">+BCR!I33/'Aggregate As% of GSDP'!Q33*100</f>
        <v>1.4156804681537163</v>
      </c>
      <c r="J33" s="401">
        <f ca="1">+BCR!C33/'Aggregate As% of GSDP'!D33*100</f>
        <v>69.3610549024188</v>
      </c>
      <c r="K33" s="401">
        <f ca="1">+BCR!D33/'Aggregate As% of GSDP'!E33*100</f>
        <v>44.847220600795126</v>
      </c>
      <c r="L33" s="401">
        <f ca="1">+BCR!E33/'Aggregate As% of GSDP'!F33*100</f>
        <v>30.242038588007347</v>
      </c>
      <c r="M33" s="401">
        <f ca="1">+BCR!F33/'Aggregate As% of GSDP'!G33*100</f>
        <v>35.922172592215794</v>
      </c>
      <c r="N33" s="401">
        <f ca="1">+BCR!G33/'Aggregate As% of GSDP'!H33*100</f>
        <v>21.209262086983273</v>
      </c>
      <c r="O33" s="401">
        <f ca="1">+BCR!H33/'Aggregate As% of GSDP'!I33*100</f>
        <v>13.580535714285716</v>
      </c>
      <c r="P33" s="401">
        <f ca="1">+BCR!I33/'Aggregate As% of GSDP'!J33*100</f>
        <v>32.422430510665798</v>
      </c>
    </row>
    <row r="34" spans="1:16" ht="15.75">
      <c r="A34" s="382">
        <v>16</v>
      </c>
      <c r="B34" s="383" t="s">
        <v>39</v>
      </c>
      <c r="C34" s="401">
        <f ca="1">+BCR!C34/'Aggregate As% of GSDP'!K34*100</f>
        <v>2.4245612569381714</v>
      </c>
      <c r="D34" s="401">
        <f ca="1">+BCR!D34/'Aggregate As% of GSDP'!L34*100</f>
        <v>2.3848297109189653</v>
      </c>
      <c r="E34" s="401">
        <f ca="1">+BCR!E34/'Aggregate As% of GSDP'!M34*100</f>
        <v>1.760706083753347</v>
      </c>
      <c r="F34" s="401">
        <f ca="1">+BCR!F34/'Aggregate As% of GSDP'!N34*100</f>
        <v>1.5877743416799408</v>
      </c>
      <c r="G34" s="401">
        <f ca="1">+BCR!G34/'Aggregate As% of GSDP'!O34*100</f>
        <v>2.0446725880587389</v>
      </c>
      <c r="H34" s="363">
        <f ca="1">+BCR!H34/'Aggregate As% of GSDP'!P34*100</f>
        <v>2.3584396499031124</v>
      </c>
      <c r="I34" s="363">
        <f ca="1">+BCR!I34/'Aggregate As% of GSDP'!Q34*100</f>
        <v>2.9844654279622294</v>
      </c>
      <c r="J34" s="401">
        <f ca="1">+BCR!C34/'Aggregate As% of GSDP'!D34*100</f>
        <v>36.780437418957256</v>
      </c>
      <c r="K34" s="401">
        <f ca="1">+BCR!D34/'Aggregate As% of GSDP'!E34*100</f>
        <v>30.475788154796025</v>
      </c>
      <c r="L34" s="401">
        <f ca="1">+BCR!E34/'Aggregate As% of GSDP'!F34*100</f>
        <v>27.434035609889822</v>
      </c>
      <c r="M34" s="401">
        <f ca="1">+BCR!F34/'Aggregate As% of GSDP'!G34*100</f>
        <v>24.79500875959776</v>
      </c>
      <c r="N34" s="401">
        <f ca="1">+BCR!G34/'Aggregate As% of GSDP'!H34*100</f>
        <v>31.399561556368592</v>
      </c>
      <c r="O34" s="401">
        <f ca="1">+BCR!H34/'Aggregate As% of GSDP'!I34*100</f>
        <v>32.755295693093373</v>
      </c>
      <c r="P34" s="401">
        <f ca="1">+BCR!I34/'Aggregate As% of GSDP'!J34*100</f>
        <v>38.229190751445088</v>
      </c>
    </row>
    <row r="35" spans="1:16" ht="15.75">
      <c r="A35" s="382">
        <v>17</v>
      </c>
      <c r="B35" s="383" t="s">
        <v>40</v>
      </c>
      <c r="C35" s="401">
        <f ca="1">+BCR!C35/'Aggregate As% of GSDP'!K35*100</f>
        <v>-1.6754707278877241</v>
      </c>
      <c r="D35" s="401">
        <f ca="1">+BCR!D35/'Aggregate As% of GSDP'!L35*100</f>
        <v>-3.4495002076375529</v>
      </c>
      <c r="E35" s="401">
        <f ca="1">+BCR!E35/'Aggregate As% of GSDP'!M35*100</f>
        <v>-4.1052873044524674</v>
      </c>
      <c r="F35" s="401">
        <f ca="1">+BCR!F35/'Aggregate As% of GSDP'!N35*100</f>
        <v>-2.3593269683420868</v>
      </c>
      <c r="G35" s="401">
        <f ca="1">+BCR!G35/'Aggregate As% of GSDP'!O35*100</f>
        <v>-1.3521011354325179</v>
      </c>
      <c r="H35" s="363">
        <f ca="1">+BCR!H35/'Aggregate As% of GSDP'!P35*100</f>
        <v>-1.5225732069143447</v>
      </c>
      <c r="I35" s="363">
        <f ca="1">+BCR!I35/'Aggregate As% of GSDP'!Q35*100</f>
        <v>-0.62153456674314267</v>
      </c>
      <c r="J35" s="401">
        <f ca="1">+BCR!C35/'Aggregate As% of GSDP'!D35*100</f>
        <v>-68.221741223049065</v>
      </c>
      <c r="K35" s="401">
        <f ca="1">+BCR!D35/'Aggregate As% of GSDP'!E35*100</f>
        <v>-134.76434813705299</v>
      </c>
      <c r="L35" s="401">
        <f ca="1">+BCR!E35/'Aggregate As% of GSDP'!F35*100</f>
        <v>-133.96871341464913</v>
      </c>
      <c r="M35" s="401">
        <f ca="1">+BCR!F35/'Aggregate As% of GSDP'!G35*100</f>
        <v>-85.989767123385164</v>
      </c>
      <c r="N35" s="401">
        <f ca="1">+BCR!G35/'Aggregate As% of GSDP'!H35*100</f>
        <v>-32.759205906185294</v>
      </c>
      <c r="O35" s="401">
        <f ca="1">+BCR!H35/'Aggregate As% of GSDP'!I35*100</f>
        <v>-40.001414946066831</v>
      </c>
      <c r="P35" s="401">
        <f ca="1">+BCR!I35/'Aggregate As% of GSDP'!J35*100</f>
        <v>-14.513162235270835</v>
      </c>
    </row>
    <row r="36" spans="1:16" s="300" customFormat="1">
      <c r="A36" s="385"/>
      <c r="B36" s="379" t="s">
        <v>192</v>
      </c>
      <c r="C36" s="403">
        <f ca="1">+BCR!C36/'Aggregate As% of GSDP'!K36*100</f>
        <v>1.8722558055646321</v>
      </c>
      <c r="D36" s="403">
        <f ca="1">+BCR!D36/'Aggregate As% of GSDP'!L36*100</f>
        <v>1.5083627096685002</v>
      </c>
      <c r="E36" s="403">
        <f ca="1">+BCR!E36/'Aggregate As% of GSDP'!M36*100</f>
        <v>0.80322263606374089</v>
      </c>
      <c r="F36" s="403">
        <f ca="1">+BCR!F36/'Aggregate As% of GSDP'!N36*100</f>
        <v>1.5042540418190737</v>
      </c>
      <c r="G36" s="403">
        <f ca="1">+BCR!G36/'Aggregate As% of GSDP'!O36*100</f>
        <v>1.5035332613281038</v>
      </c>
      <c r="H36" s="366">
        <f ca="1">+BCR!H36/'Aggregate As% of GSDP'!P36*100</f>
        <v>1.6342478203042381</v>
      </c>
      <c r="I36" s="366">
        <f ca="1">+BCR!I36/'Aggregate As% of GSDP'!Q36*100</f>
        <v>1.9933401615966364</v>
      </c>
      <c r="J36" s="403">
        <f ca="1">+BCR!C36/'Aggregate As% of GSDP'!D36*100</f>
        <v>36.969340813058317</v>
      </c>
      <c r="K36" s="403">
        <f ca="1">+BCR!D36/'Aggregate As% of GSDP'!E36*100</f>
        <v>27.505315444174244</v>
      </c>
      <c r="L36" s="403">
        <f ca="1">+BCR!E36/'Aggregate As% of GSDP'!F36*100</f>
        <v>14.853272553916444</v>
      </c>
      <c r="M36" s="403">
        <f ca="1">+BCR!F36/'Aggregate As% of GSDP'!G36*100</f>
        <v>29.200289633846431</v>
      </c>
      <c r="N36" s="403">
        <f ca="1">+BCR!G36/'Aggregate As% of GSDP'!H36*100</f>
        <v>26.619349571384436</v>
      </c>
      <c r="O36" s="403">
        <f ca="1">+BCR!H36/'Aggregate As% of GSDP'!I36*100</f>
        <v>27.835165851810061</v>
      </c>
      <c r="P36" s="403">
        <f ca="1">+BCR!I36/'Aggregate As% of GSDP'!J36*100</f>
        <v>30.47958522886281</v>
      </c>
    </row>
    <row r="37" spans="1:16" s="300" customFormat="1">
      <c r="A37" s="385"/>
      <c r="B37" s="379" t="s">
        <v>86</v>
      </c>
      <c r="C37" s="403">
        <f ca="1">+BCR!C37/'Aggregate As% of GSDP'!K37*100</f>
        <v>1.7038038420447827</v>
      </c>
      <c r="D37" s="403">
        <f ca="1">+BCR!D37/'Aggregate As% of GSDP'!L37*100</f>
        <v>1.3477936404856137</v>
      </c>
      <c r="E37" s="403">
        <f ca="1">+BCR!E37/'Aggregate As% of GSDP'!M37*100</f>
        <v>0.49663271320663571</v>
      </c>
      <c r="F37" s="403">
        <f ca="1">+BCR!F37/'Aggregate As% of GSDP'!N37*100</f>
        <v>1.2294591698877988</v>
      </c>
      <c r="G37" s="403">
        <f ca="1">+BCR!G37/'Aggregate As% of GSDP'!O37*100</f>
        <v>1.1734289038153953</v>
      </c>
      <c r="H37" s="366">
        <f ca="1">+BCR!H37/'Aggregate As% of GSDP'!P37*100</f>
        <v>1.3331317137286849</v>
      </c>
      <c r="I37" s="366">
        <f ca="1">+BCR!I37/'Aggregate As% of GSDP'!Q37*100</f>
        <v>1.6975495555159179</v>
      </c>
      <c r="J37" s="403">
        <f ca="1">+BCR!C37/'Aggregate As% of GSDP'!D37*100</f>
        <v>31.867193436450258</v>
      </c>
      <c r="K37" s="403">
        <f ca="1">+BCR!D37/'Aggregate As% of GSDP'!E37*100</f>
        <v>23.455341037755549</v>
      </c>
      <c r="L37" s="403">
        <f ca="1">+BCR!E37/'Aggregate As% of GSDP'!F37*100</f>
        <v>8.8298796824129475</v>
      </c>
      <c r="M37" s="403">
        <f ca="1">+BCR!F37/'Aggregate As% of GSDP'!G37*100</f>
        <v>22.909504411317197</v>
      </c>
      <c r="N37" s="403">
        <f ca="1">+BCR!G37/'Aggregate As% of GSDP'!H37*100</f>
        <v>20.18990276953236</v>
      </c>
      <c r="O37" s="403">
        <f ca="1">+BCR!H37/'Aggregate As% of GSDP'!I37*100</f>
        <v>22.094501735702675</v>
      </c>
      <c r="P37" s="403">
        <f ca="1">+BCR!I37/'Aggregate As% of GSDP'!J37*100</f>
        <v>25.37229633069439</v>
      </c>
    </row>
    <row r="38" spans="1:16" ht="15.75">
      <c r="A38" s="385" t="s">
        <v>231</v>
      </c>
      <c r="B38" s="379" t="s">
        <v>244</v>
      </c>
      <c r="C38" s="401"/>
      <c r="D38" s="401"/>
      <c r="E38" s="401"/>
      <c r="F38" s="401"/>
      <c r="G38" s="401"/>
      <c r="H38" s="363"/>
      <c r="I38" s="363"/>
      <c r="J38" s="401"/>
      <c r="K38" s="401"/>
      <c r="L38" s="401"/>
      <c r="M38" s="401"/>
      <c r="N38" s="401"/>
      <c r="O38" s="401"/>
      <c r="P38" s="401"/>
    </row>
    <row r="39" spans="1:16" ht="15.75">
      <c r="A39" s="382">
        <v>1</v>
      </c>
      <c r="B39" s="383" t="s">
        <v>233</v>
      </c>
      <c r="C39" s="401">
        <f ca="1">+BCR!C39/'Aggregate As% of GSDP'!K39*100</f>
        <v>4.8701906335669554</v>
      </c>
      <c r="D39" s="401">
        <f ca="1">+BCR!D39/'Aggregate As% of GSDP'!L39*100</f>
        <v>4.0459022966976725</v>
      </c>
      <c r="E39" s="401">
        <f ca="1">+BCR!E39/'Aggregate As% of GSDP'!M39*100</f>
        <v>4.4526856570428128</v>
      </c>
      <c r="F39" s="401">
        <f ca="1">+BCR!F39/'Aggregate As% of GSDP'!N39*100</f>
        <v>5.2336154269187709</v>
      </c>
      <c r="G39" s="401">
        <f ca="1">+BCR!G39/'Aggregate As% of GSDP'!O39*100</f>
        <v>3.112127345036487</v>
      </c>
      <c r="H39" s="363">
        <f ca="1">+BCR!H39/'Aggregate As% of GSDP'!P39*100</f>
        <v>3.3431183070521309</v>
      </c>
      <c r="I39" s="363">
        <f ca="1">+BCR!I39/'Aggregate As% of GSDP'!Q39*100</f>
        <v>77.469302325581396</v>
      </c>
      <c r="J39" s="401">
        <f ca="1">+BCR!C39/'Aggregate As% of GSDP'!D39*100</f>
        <v>87.938086388853705</v>
      </c>
      <c r="K39" s="401">
        <f ca="1">+BCR!D39/'Aggregate As% of GSDP'!E39*100</f>
        <v>79.716282586504121</v>
      </c>
      <c r="L39" s="401">
        <f ca="1">+BCR!E39/'Aggregate As% of GSDP'!F39*100</f>
        <v>87.706039688383868</v>
      </c>
      <c r="M39" s="401">
        <f ca="1">+BCR!F39/'Aggregate As% of GSDP'!G39*100</f>
        <v>116.03614035087719</v>
      </c>
      <c r="N39" s="401">
        <f ca="1">+BCR!G39/'Aggregate As% of GSDP'!H39*100</f>
        <v>51.029938195425693</v>
      </c>
      <c r="O39" s="401">
        <f ca="1">+BCR!H39/'Aggregate As% of GSDP'!I39*100</f>
        <v>69.532891141327241</v>
      </c>
      <c r="P39" s="401">
        <f ca="1">+BCR!I39/'Aggregate As% of GSDP'!J39*100</f>
        <v>100.17983880668832</v>
      </c>
    </row>
    <row r="40" spans="1:16" ht="15.75">
      <c r="A40" s="382">
        <v>2</v>
      </c>
      <c r="B40" s="383" t="s">
        <v>44</v>
      </c>
      <c r="C40" s="401">
        <f ca="1">+BCR!C40/'Aggregate As% of GSDP'!K40*100</f>
        <v>0.94605988541779273</v>
      </c>
      <c r="D40" s="401">
        <f ca="1">+BCR!D40/'Aggregate As% of GSDP'!L40*100</f>
        <v>0</v>
      </c>
      <c r="E40" s="401">
        <f ca="1">+BCR!E40/'Aggregate As% of GSDP'!M40*100</f>
        <v>0</v>
      </c>
      <c r="F40" s="401">
        <f ca="1">+BCR!F40/'Aggregate As% of GSDP'!N40*100</f>
        <v>0.8468530400244425</v>
      </c>
      <c r="G40" s="401">
        <f ca="1">+BCR!G40/'Aggregate As% of GSDP'!O40*100</f>
        <v>-1.8308954203691046</v>
      </c>
      <c r="H40" s="363">
        <f ca="1">+BCR!H40/'Aggregate As% of GSDP'!P40*100</f>
        <v>2.6956142391810145</v>
      </c>
      <c r="I40" s="363">
        <f ca="1">+BCR!I40/'Aggregate As% of GSDP'!Q40*100</f>
        <v>2.7902325581395346</v>
      </c>
      <c r="J40" s="401">
        <f ca="1">+BCR!C40/'Aggregate As% of GSDP'!D40*100</f>
        <v>8.053553184047523</v>
      </c>
      <c r="K40" s="401">
        <f ca="1">+BCR!D40/'Aggregate As% of GSDP'!E40*100</f>
        <v>0</v>
      </c>
      <c r="L40" s="401">
        <f ca="1">+BCR!E40/'Aggregate As% of GSDP'!F40*100</f>
        <v>0</v>
      </c>
      <c r="M40" s="401">
        <f ca="1">+BCR!F40/'Aggregate As% of GSDP'!G40*100</f>
        <v>7.0956799999999998</v>
      </c>
      <c r="N40" s="401">
        <f ca="1">+BCR!G40/'Aggregate As% of GSDP'!H40*100</f>
        <v>-9.7403636363636377</v>
      </c>
      <c r="O40" s="401">
        <f ca="1">+BCR!H40/'Aggregate As% of GSDP'!I40*100</f>
        <v>33.292385057471265</v>
      </c>
      <c r="P40" s="401">
        <f ca="1">+BCR!I40/'Aggregate As% of GSDP'!J40*100</f>
        <v>29.995000000000001</v>
      </c>
    </row>
    <row r="41" spans="1:16" s="300" customFormat="1">
      <c r="A41" s="385"/>
      <c r="B41" s="386" t="s">
        <v>234</v>
      </c>
      <c r="C41" s="403">
        <f ca="1">+BCR!C41/'Aggregate As% of GSDP'!K41*100</f>
        <v>4.6530700127991969</v>
      </c>
      <c r="D41" s="403">
        <f ca="1">+BCR!D41/'Aggregate As% of GSDP'!L41*100</f>
        <v>3.8421709263815051</v>
      </c>
      <c r="E41" s="403">
        <f ca="1">+BCR!E41/'Aggregate As% of GSDP'!M41*100</f>
        <v>4.2144065621969089</v>
      </c>
      <c r="F41" s="403">
        <f ca="1">+BCR!F41/'Aggregate As% of GSDP'!N41*100</f>
        <v>5.0175816735315699</v>
      </c>
      <c r="G41" s="403">
        <f ca="1">+BCR!G41/'Aggregate As% of GSDP'!O41*100</f>
        <v>2.880036715267325</v>
      </c>
      <c r="H41" s="366">
        <f ca="1">+BCR!H41/'Aggregate As% of GSDP'!P41*100</f>
        <v>3.3126544485281038</v>
      </c>
      <c r="I41" s="366">
        <f ca="1">+BCR!I41/'Aggregate As% of GSDP'!Q41*100</f>
        <v>40.129767441860473</v>
      </c>
      <c r="J41" s="403">
        <f ca="1">+BCR!C41/'Aggregate As% of GSDP'!D41*100</f>
        <v>79.110427452802142</v>
      </c>
      <c r="K41" s="403">
        <f ca="1">+BCR!D41/'Aggregate As% of GSDP'!E41*100</f>
        <v>71.79890904855742</v>
      </c>
      <c r="L41" s="403">
        <f ca="1">+BCR!E41/'Aggregate As% of GSDP'!F41*100</f>
        <v>77.531075291809998</v>
      </c>
      <c r="M41" s="403">
        <f ca="1">+BCR!F41/'Aggregate As% of GSDP'!G41*100</f>
        <v>102.90445515911284</v>
      </c>
      <c r="N41" s="403">
        <f ca="1">+BCR!G41/'Aggregate As% of GSDP'!H41*100</f>
        <v>43.018632033752127</v>
      </c>
      <c r="O41" s="403">
        <f ca="1">+BCR!H41/'Aggregate As% of GSDP'!I41*100</f>
        <v>66.75105531767062</v>
      </c>
      <c r="P41" s="403">
        <f ca="1">+BCR!I41/'Aggregate As% of GSDP'!J41*100</f>
        <v>92.643616450123503</v>
      </c>
    </row>
    <row r="42" spans="1:16" s="300" customFormat="1" ht="30">
      <c r="A42" s="385"/>
      <c r="B42" s="404" t="s">
        <v>235</v>
      </c>
      <c r="C42" s="403">
        <f ca="1">+BCR!C42/'Aggregate As% of GSDP'!K42*100</f>
        <v>1.8172255457824134</v>
      </c>
      <c r="D42" s="403">
        <f ca="1">+BCR!D42/'Aggregate As% of GSDP'!L42*100</f>
        <v>1.4471334511050327</v>
      </c>
      <c r="E42" s="403">
        <f ca="1">+BCR!E42/'Aggregate As% of GSDP'!M42*100</f>
        <v>0.64493697100870961</v>
      </c>
      <c r="F42" s="403">
        <f ca="1">+BCR!F42/'Aggregate As% of GSDP'!N42*100</f>
        <v>1.3757111323820683</v>
      </c>
      <c r="G42" s="403">
        <f ca="1">+BCR!G42/'Aggregate As% of GSDP'!O42*100</f>
        <v>1.2406755907361389</v>
      </c>
      <c r="H42" s="366">
        <f ca="1">+BCR!H42/'Aggregate As% of GSDP'!P42*100</f>
        <v>1.4129708993505963</v>
      </c>
      <c r="I42" s="366">
        <f ca="1">+BCR!I42/'Aggregate As% of GSDP'!Q42*100</f>
        <v>1.8624665510351104</v>
      </c>
      <c r="J42" s="403">
        <f ca="1">+BCR!C42/'Aggregate As% of GSDP'!D42*100</f>
        <v>33.858248777011902</v>
      </c>
      <c r="K42" s="403">
        <f ca="1">+BCR!D42/'Aggregate As% of GSDP'!E42*100</f>
        <v>25.253248749258226</v>
      </c>
      <c r="L42" s="403">
        <f ca="1">+BCR!E42/'Aggregate As% of GSDP'!F42*100</f>
        <v>11.482020767329267</v>
      </c>
      <c r="M42" s="403">
        <f ca="1">+BCR!F42/'Aggregate As% of GSDP'!G42*100</f>
        <v>25.725537411396211</v>
      </c>
      <c r="N42" s="403">
        <f ca="1">+BCR!G42/'Aggregate As% of GSDP'!H42*100</f>
        <v>21.219923349980753</v>
      </c>
      <c r="O42" s="403">
        <f ca="1">+BCR!H42/'Aggregate As% of GSDP'!I42*100</f>
        <v>23.586576183349383</v>
      </c>
      <c r="P42" s="403">
        <f ca="1">+BCR!I42/'Aggregate As% of GSDP'!J42*100</f>
        <v>27.198312131753404</v>
      </c>
    </row>
    <row r="43" spans="1:16" s="300" customFormat="1" ht="16.5" customHeight="1">
      <c r="A43" s="387"/>
      <c r="B43" s="545" t="s">
        <v>254</v>
      </c>
      <c r="C43" s="545"/>
      <c r="D43" s="545"/>
      <c r="E43" s="545"/>
      <c r="F43" s="545"/>
      <c r="G43" s="545"/>
      <c r="H43" s="545"/>
      <c r="I43" s="545"/>
      <c r="J43" s="545"/>
      <c r="K43" s="545"/>
      <c r="L43" s="388"/>
      <c r="M43" s="388"/>
      <c r="N43" s="388"/>
      <c r="O43" s="388"/>
      <c r="P43" s="388"/>
    </row>
    <row r="44" spans="1:16" ht="15.75">
      <c r="C44" s="297" t="s">
        <v>48</v>
      </c>
      <c r="D44" s="297" t="s">
        <v>49</v>
      </c>
      <c r="E44" s="297" t="s">
        <v>5</v>
      </c>
      <c r="F44" s="297" t="s">
        <v>6</v>
      </c>
      <c r="G44" s="298" t="s">
        <v>7</v>
      </c>
      <c r="H44" s="299" t="s">
        <v>122</v>
      </c>
      <c r="I44" s="299" t="s">
        <v>139</v>
      </c>
      <c r="J44" s="405"/>
      <c r="K44" s="406"/>
      <c r="L44" s="406"/>
      <c r="M44" s="406"/>
      <c r="N44" s="406"/>
      <c r="O44" s="406"/>
      <c r="P44" s="406"/>
    </row>
    <row r="45" spans="1:16" s="300" customFormat="1" ht="12.75">
      <c r="A45" s="387"/>
      <c r="B45" s="300" t="s">
        <v>216</v>
      </c>
      <c r="C45" s="301">
        <v>1.0575600000000001</v>
      </c>
      <c r="D45" s="301">
        <v>1.1492</v>
      </c>
      <c r="E45" s="301">
        <v>1.21888</v>
      </c>
      <c r="F45" s="301">
        <v>1.3283799999999999</v>
      </c>
      <c r="G45" s="301">
        <v>1.4418200000000001</v>
      </c>
      <c r="H45" s="302">
        <v>1.5452399999999999</v>
      </c>
      <c r="I45" s="302">
        <v>1.6520900000000001</v>
      </c>
      <c r="J45" s="301"/>
      <c r="K45" s="301"/>
      <c r="L45" s="301"/>
      <c r="M45" s="301"/>
      <c r="N45" s="301"/>
      <c r="O45" s="301"/>
      <c r="P45" s="301"/>
    </row>
    <row r="46" spans="1:16">
      <c r="C46" s="301"/>
      <c r="D46" s="301"/>
      <c r="E46" s="301"/>
      <c r="F46" s="301"/>
      <c r="G46" s="301"/>
      <c r="H46" s="302"/>
      <c r="I46" s="302"/>
    </row>
  </sheetData>
  <mergeCells count="6">
    <mergeCell ref="B43:K43"/>
    <mergeCell ref="A1:N1"/>
    <mergeCell ref="A2:A4"/>
    <mergeCell ref="B2:B4"/>
    <mergeCell ref="C2:I2"/>
    <mergeCell ref="J2:P2"/>
  </mergeCells>
  <phoneticPr fontId="42" type="noConversion"/>
  <printOptions horizontalCentered="1"/>
  <pageMargins left="0.23622047244094499" right="0.27559055118110198" top="0.39370078740157499" bottom="0.39370078740157499" header="0.118110236220472" footer="0.118110236220472"/>
  <pageSetup paperSize="9" scale="69" orientation="landscape" horizontalDpi="4294967295" r:id="rId1"/>
  <headerFooter alignWithMargins="0"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P51"/>
  <sheetViews>
    <sheetView view="pageBreakPreview" zoomScaleNormal="100" workbookViewId="0">
      <pane xSplit="2" ySplit="5" topLeftCell="C6" activePane="bottomRight" state="frozen"/>
      <selection activeCell="J4" sqref="J4:P5"/>
      <selection pane="topRight" activeCell="J4" sqref="J4:P5"/>
      <selection pane="bottomLeft" activeCell="J4" sqref="J4:P5"/>
      <selection pane="bottomRight" activeCell="A2" sqref="A2"/>
    </sheetView>
  </sheetViews>
  <sheetFormatPr defaultRowHeight="15"/>
  <cols>
    <col min="1" max="1" width="5.28515625" style="400" customWidth="1"/>
    <col min="2" max="2" width="33.42578125" style="296" customWidth="1"/>
    <col min="3" max="16" width="11.85546875" style="296" customWidth="1"/>
    <col min="17" max="16384" width="9.140625" style="296"/>
  </cols>
  <sheetData>
    <row r="1" spans="1:16" ht="34.5" customHeight="1">
      <c r="A1" s="540" t="s">
        <v>318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</row>
    <row r="2" spans="1:16" ht="17.25" customHeight="1">
      <c r="A2" s="374"/>
      <c r="B2" s="122">
        <v>41834</v>
      </c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407"/>
      <c r="O2" s="546" t="s">
        <v>84</v>
      </c>
      <c r="P2" s="546"/>
    </row>
    <row r="3" spans="1:16" s="409" customFormat="1" ht="26.25" customHeight="1">
      <c r="A3" s="541" t="s">
        <v>71</v>
      </c>
      <c r="B3" s="543" t="s">
        <v>85</v>
      </c>
      <c r="C3" s="547" t="s">
        <v>255</v>
      </c>
      <c r="D3" s="548"/>
      <c r="E3" s="548"/>
      <c r="F3" s="548"/>
      <c r="G3" s="548"/>
      <c r="H3" s="548"/>
      <c r="I3" s="549"/>
      <c r="J3" s="550" t="s">
        <v>256</v>
      </c>
      <c r="K3" s="550"/>
      <c r="L3" s="550"/>
      <c r="M3" s="550"/>
      <c r="N3" s="550"/>
      <c r="O3" s="550"/>
      <c r="P3" s="550"/>
    </row>
    <row r="4" spans="1:16" s="409" customFormat="1" ht="19.5" customHeight="1">
      <c r="A4" s="541"/>
      <c r="B4" s="543"/>
      <c r="C4" s="410" t="s">
        <v>48</v>
      </c>
      <c r="D4" s="410" t="s">
        <v>49</v>
      </c>
      <c r="E4" s="410" t="s">
        <v>5</v>
      </c>
      <c r="F4" s="410" t="s">
        <v>6</v>
      </c>
      <c r="G4" s="410" t="s">
        <v>7</v>
      </c>
      <c r="H4" s="410" t="s">
        <v>122</v>
      </c>
      <c r="I4" s="410" t="s">
        <v>139</v>
      </c>
      <c r="J4" s="410" t="s">
        <v>48</v>
      </c>
      <c r="K4" s="410" t="s">
        <v>49</v>
      </c>
      <c r="L4" s="410" t="s">
        <v>5</v>
      </c>
      <c r="M4" s="410" t="s">
        <v>6</v>
      </c>
      <c r="N4" s="410" t="s">
        <v>7</v>
      </c>
      <c r="O4" s="410" t="s">
        <v>122</v>
      </c>
      <c r="P4" s="410" t="s">
        <v>139</v>
      </c>
    </row>
    <row r="5" spans="1:16" s="409" customFormat="1" ht="24">
      <c r="A5" s="376"/>
      <c r="B5" s="375"/>
      <c r="C5" s="377" t="s">
        <v>8</v>
      </c>
      <c r="D5" s="377" t="s">
        <v>8</v>
      </c>
      <c r="E5" s="377" t="s">
        <v>8</v>
      </c>
      <c r="F5" s="377" t="s">
        <v>8</v>
      </c>
      <c r="G5" s="377" t="s">
        <v>257</v>
      </c>
      <c r="H5" s="377" t="s">
        <v>224</v>
      </c>
      <c r="I5" s="377" t="s">
        <v>225</v>
      </c>
      <c r="J5" s="377" t="s">
        <v>8</v>
      </c>
      <c r="K5" s="377" t="s">
        <v>8</v>
      </c>
      <c r="L5" s="377" t="s">
        <v>8</v>
      </c>
      <c r="M5" s="377" t="s">
        <v>8</v>
      </c>
      <c r="N5" s="377" t="s">
        <v>253</v>
      </c>
      <c r="O5" s="377" t="s">
        <v>224</v>
      </c>
      <c r="P5" s="377" t="s">
        <v>225</v>
      </c>
    </row>
    <row r="6" spans="1:16" ht="15.75">
      <c r="A6" s="411" t="s">
        <v>226</v>
      </c>
      <c r="B6" s="379" t="s">
        <v>227</v>
      </c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</row>
    <row r="7" spans="1:16" ht="15.75">
      <c r="A7" s="412">
        <v>1</v>
      </c>
      <c r="B7" s="383" t="s">
        <v>12</v>
      </c>
      <c r="C7" s="380">
        <v>284.88</v>
      </c>
      <c r="D7" s="380">
        <v>285.05</v>
      </c>
      <c r="E7" s="380">
        <v>-49.889999999999873</v>
      </c>
      <c r="F7" s="380">
        <v>-58.95</v>
      </c>
      <c r="G7" s="380">
        <v>-865.8</v>
      </c>
      <c r="H7" s="380">
        <v>-193.1</v>
      </c>
      <c r="I7" s="380">
        <v>153.85</v>
      </c>
      <c r="J7" s="380">
        <f t="shared" ref="J7:J18" si="0">+C7/C$46</f>
        <v>269.37478724611367</v>
      </c>
      <c r="K7" s="380">
        <f t="shared" ref="K7:K18" si="1">+D7/D$46</f>
        <v>248.04211625478595</v>
      </c>
      <c r="L7" s="380">
        <f t="shared" ref="L7:L18" si="2">+E7/E$46</f>
        <v>-40.931018640062902</v>
      </c>
      <c r="M7" s="380">
        <f t="shared" ref="M7:M18" si="3">+F7/F$46</f>
        <v>-44.377361899456488</v>
      </c>
      <c r="N7" s="380">
        <f t="shared" ref="N7:N18" si="4">+G7/G$46</f>
        <v>-600.4910460390339</v>
      </c>
      <c r="O7" s="380">
        <f t="shared" ref="O7:O18" si="5">+H7/H$46</f>
        <v>-124.9644068235355</v>
      </c>
      <c r="P7" s="380">
        <f t="shared" ref="P7:P18" si="6">+I7/I$46</f>
        <v>93.124466584750223</v>
      </c>
    </row>
    <row r="8" spans="1:16" ht="15.75">
      <c r="A8" s="412">
        <v>2</v>
      </c>
      <c r="B8" s="383" t="s">
        <v>13</v>
      </c>
      <c r="C8" s="380">
        <v>1637.6</v>
      </c>
      <c r="D8" s="380">
        <v>3204.03</v>
      </c>
      <c r="E8" s="380">
        <v>2849.32</v>
      </c>
      <c r="F8" s="380">
        <v>3366.69</v>
      </c>
      <c r="G8" s="380">
        <v>1595.32</v>
      </c>
      <c r="H8" s="380">
        <v>-476.07</v>
      </c>
      <c r="I8" s="380">
        <v>-677.05</v>
      </c>
      <c r="J8" s="380">
        <f t="shared" si="0"/>
        <v>1548.4700631642647</v>
      </c>
      <c r="K8" s="380">
        <f t="shared" si="1"/>
        <v>2788.0525583014273</v>
      </c>
      <c r="L8" s="380">
        <f t="shared" si="2"/>
        <v>2337.6542399579944</v>
      </c>
      <c r="M8" s="380">
        <f t="shared" si="3"/>
        <v>2534.432918291453</v>
      </c>
      <c r="N8" s="380">
        <f t="shared" si="4"/>
        <v>1106.4626652425407</v>
      </c>
      <c r="O8" s="380">
        <f t="shared" si="5"/>
        <v>-308.08806399005982</v>
      </c>
      <c r="P8" s="380">
        <f t="shared" si="6"/>
        <v>-409.81423530195082</v>
      </c>
    </row>
    <row r="9" spans="1:16" ht="15.75">
      <c r="A9" s="412">
        <v>3</v>
      </c>
      <c r="B9" s="383" t="s">
        <v>14</v>
      </c>
      <c r="C9" s="380">
        <v>1275.9100000000001</v>
      </c>
      <c r="D9" s="380">
        <v>279.26</v>
      </c>
      <c r="E9" s="380">
        <v>-15.180000000000291</v>
      </c>
      <c r="F9" s="380">
        <v>373.79</v>
      </c>
      <c r="G9" s="380">
        <v>-1549.45</v>
      </c>
      <c r="H9" s="380">
        <v>-2608.31</v>
      </c>
      <c r="I9" s="380">
        <v>-2513.4299999999998</v>
      </c>
      <c r="J9" s="380">
        <f t="shared" si="0"/>
        <v>1206.4658269979955</v>
      </c>
      <c r="K9" s="380">
        <f t="shared" si="1"/>
        <v>243.00382875043508</v>
      </c>
      <c r="L9" s="380">
        <f t="shared" si="2"/>
        <v>-12.454056182725363</v>
      </c>
      <c r="M9" s="380">
        <f t="shared" si="3"/>
        <v>281.38785588461138</v>
      </c>
      <c r="N9" s="380">
        <f t="shared" si="4"/>
        <v>-1074.6487078830921</v>
      </c>
      <c r="O9" s="380">
        <f t="shared" si="5"/>
        <v>-1687.964329165696</v>
      </c>
      <c r="P9" s="380">
        <f t="shared" si="6"/>
        <v>-1521.3638482165013</v>
      </c>
    </row>
    <row r="10" spans="1:16" ht="15.75">
      <c r="A10" s="412">
        <v>4</v>
      </c>
      <c r="B10" s="383" t="s">
        <v>228</v>
      </c>
      <c r="C10" s="380">
        <v>-303.13000000000102</v>
      </c>
      <c r="D10" s="380">
        <v>804.11</v>
      </c>
      <c r="E10" s="380">
        <v>-1059.55</v>
      </c>
      <c r="F10" s="380">
        <v>-1912.87</v>
      </c>
      <c r="G10" s="380">
        <v>-7428.13</v>
      </c>
      <c r="H10" s="380">
        <v>-7000.99</v>
      </c>
      <c r="I10" s="380">
        <v>-6867.68</v>
      </c>
      <c r="J10" s="380">
        <f t="shared" si="0"/>
        <v>-286.63149135746528</v>
      </c>
      <c r="K10" s="380">
        <f t="shared" si="1"/>
        <v>699.71284371736863</v>
      </c>
      <c r="L10" s="380">
        <f t="shared" si="2"/>
        <v>-869.28163559989503</v>
      </c>
      <c r="M10" s="380">
        <f t="shared" si="3"/>
        <v>-1440.0021078305906</v>
      </c>
      <c r="N10" s="380">
        <f t="shared" si="4"/>
        <v>-5151.9121665672546</v>
      </c>
      <c r="O10" s="380">
        <f t="shared" si="5"/>
        <v>-4530.6813181123971</v>
      </c>
      <c r="P10" s="380">
        <f t="shared" si="6"/>
        <v>-4156.9648142655669</v>
      </c>
    </row>
    <row r="11" spans="1:16" ht="15.75">
      <c r="A11" s="412">
        <v>5</v>
      </c>
      <c r="B11" s="383" t="s">
        <v>16</v>
      </c>
      <c r="C11" s="380">
        <v>-113.87</v>
      </c>
      <c r="D11" s="380">
        <v>111.08000000000266</v>
      </c>
      <c r="E11" s="380">
        <v>436.52000000000203</v>
      </c>
      <c r="F11" s="380">
        <v>800.25</v>
      </c>
      <c r="G11" s="380">
        <v>-690.67</v>
      </c>
      <c r="H11" s="380">
        <v>-696.09</v>
      </c>
      <c r="I11" s="380">
        <v>-482.36</v>
      </c>
      <c r="J11" s="380">
        <f t="shared" si="0"/>
        <v>-107.6723779265479</v>
      </c>
      <c r="K11" s="380">
        <f t="shared" si="1"/>
        <v>96.658545074836979</v>
      </c>
      <c r="L11" s="380">
        <f t="shared" si="2"/>
        <v>358.13205565765458</v>
      </c>
      <c r="M11" s="380">
        <f t="shared" si="3"/>
        <v>602.42551077251994</v>
      </c>
      <c r="N11" s="380">
        <f t="shared" si="4"/>
        <v>-479.02650816329356</v>
      </c>
      <c r="O11" s="380">
        <f t="shared" si="5"/>
        <v>-450.47371282130933</v>
      </c>
      <c r="P11" s="380">
        <f t="shared" si="6"/>
        <v>-291.96956582268518</v>
      </c>
    </row>
    <row r="12" spans="1:16" ht="15.75">
      <c r="A12" s="412">
        <v>6</v>
      </c>
      <c r="B12" s="383" t="s">
        <v>17</v>
      </c>
      <c r="C12" s="380">
        <v>247.15</v>
      </c>
      <c r="D12" s="380">
        <v>409.54</v>
      </c>
      <c r="E12" s="380">
        <v>26.46</v>
      </c>
      <c r="F12" s="380">
        <v>-221.67</v>
      </c>
      <c r="G12" s="380">
        <v>1025.58</v>
      </c>
      <c r="H12" s="380">
        <v>229.91</v>
      </c>
      <c r="I12" s="380">
        <v>245.75</v>
      </c>
      <c r="J12" s="380">
        <f t="shared" si="0"/>
        <v>233.69832444494875</v>
      </c>
      <c r="K12" s="380">
        <f t="shared" si="1"/>
        <v>356.36964845109645</v>
      </c>
      <c r="L12" s="380">
        <f t="shared" si="2"/>
        <v>21.708453662378577</v>
      </c>
      <c r="M12" s="380">
        <f t="shared" si="3"/>
        <v>-166.87243108146765</v>
      </c>
      <c r="N12" s="380">
        <f t="shared" si="4"/>
        <v>711.30931739052016</v>
      </c>
      <c r="O12" s="380">
        <f t="shared" si="5"/>
        <v>148.78594910822915</v>
      </c>
      <c r="P12" s="380">
        <f t="shared" si="6"/>
        <v>148.75097603641447</v>
      </c>
    </row>
    <row r="13" spans="1:16" ht="15.75">
      <c r="A13" s="412">
        <v>7</v>
      </c>
      <c r="B13" s="383" t="s">
        <v>18</v>
      </c>
      <c r="C13" s="380">
        <v>242.43</v>
      </c>
      <c r="D13" s="380">
        <v>79.859999999999786</v>
      </c>
      <c r="E13" s="380">
        <v>-370.01</v>
      </c>
      <c r="F13" s="380">
        <v>100.98</v>
      </c>
      <c r="G13" s="380">
        <v>-507.58</v>
      </c>
      <c r="H13" s="380">
        <v>-311.95999999999998</v>
      </c>
      <c r="I13" s="380">
        <v>-346.85</v>
      </c>
      <c r="J13" s="380">
        <f t="shared" si="0"/>
        <v>229.23522069669806</v>
      </c>
      <c r="K13" s="380">
        <f t="shared" si="1"/>
        <v>69.491820396797593</v>
      </c>
      <c r="L13" s="380">
        <f t="shared" si="2"/>
        <v>-303.56556839065371</v>
      </c>
      <c r="M13" s="380">
        <f t="shared" si="3"/>
        <v>76.017404658305608</v>
      </c>
      <c r="N13" s="380">
        <f t="shared" si="4"/>
        <v>-352.04117018767943</v>
      </c>
      <c r="O13" s="380">
        <f t="shared" si="5"/>
        <v>-201.88449690662938</v>
      </c>
      <c r="P13" s="380">
        <f t="shared" si="6"/>
        <v>-209.94618937224971</v>
      </c>
    </row>
    <row r="14" spans="1:16" ht="15.75">
      <c r="A14" s="412">
        <v>8</v>
      </c>
      <c r="B14" s="383" t="s">
        <v>19</v>
      </c>
      <c r="C14" s="380">
        <v>108.41</v>
      </c>
      <c r="D14" s="380">
        <v>161.03</v>
      </c>
      <c r="E14" s="380">
        <v>-165.81</v>
      </c>
      <c r="F14" s="380">
        <v>-326.01</v>
      </c>
      <c r="G14" s="380">
        <v>-1135.4100000000001</v>
      </c>
      <c r="H14" s="380">
        <v>-1026.73</v>
      </c>
      <c r="I14" s="380">
        <v>-1333.7</v>
      </c>
      <c r="J14" s="380">
        <f t="shared" si="0"/>
        <v>102.50955028556298</v>
      </c>
      <c r="K14" s="380">
        <f t="shared" si="1"/>
        <v>140.12356421858684</v>
      </c>
      <c r="L14" s="380">
        <f t="shared" si="2"/>
        <v>-136.03472039905486</v>
      </c>
      <c r="M14" s="380">
        <f t="shared" si="3"/>
        <v>-245.41923244854635</v>
      </c>
      <c r="N14" s="380">
        <f t="shared" si="4"/>
        <v>-787.48387454744693</v>
      </c>
      <c r="O14" s="380">
        <f t="shared" si="5"/>
        <v>-664.44694675260803</v>
      </c>
      <c r="P14" s="380">
        <f t="shared" si="6"/>
        <v>-807.28047503465302</v>
      </c>
    </row>
    <row r="15" spans="1:16" ht="15.75">
      <c r="A15" s="412">
        <v>9</v>
      </c>
      <c r="B15" s="383" t="s">
        <v>20</v>
      </c>
      <c r="C15" s="380">
        <v>356.24</v>
      </c>
      <c r="D15" s="380">
        <v>402.89</v>
      </c>
      <c r="E15" s="380">
        <v>293.01</v>
      </c>
      <c r="F15" s="380">
        <v>-29.72</v>
      </c>
      <c r="G15" s="380">
        <v>-174.92</v>
      </c>
      <c r="H15" s="380">
        <v>-5.67</v>
      </c>
      <c r="I15" s="380">
        <v>-42.51</v>
      </c>
      <c r="J15" s="380">
        <f t="shared" si="0"/>
        <v>336.85086425356479</v>
      </c>
      <c r="K15" s="380">
        <f t="shared" si="1"/>
        <v>350.58301427079704</v>
      </c>
      <c r="L15" s="380">
        <f t="shared" si="2"/>
        <v>240.39281963770017</v>
      </c>
      <c r="M15" s="380">
        <f t="shared" si="3"/>
        <v>-22.373116126409613</v>
      </c>
      <c r="N15" s="380">
        <f t="shared" si="4"/>
        <v>-121.31888862687435</v>
      </c>
      <c r="O15" s="380">
        <f t="shared" si="5"/>
        <v>-3.6693329191581889</v>
      </c>
      <c r="P15" s="380">
        <f t="shared" si="6"/>
        <v>-25.731043708272551</v>
      </c>
    </row>
    <row r="16" spans="1:16" ht="15.75">
      <c r="A16" s="412">
        <v>10</v>
      </c>
      <c r="B16" s="383" t="s">
        <v>21</v>
      </c>
      <c r="C16" s="380">
        <v>116.52</v>
      </c>
      <c r="D16" s="380">
        <v>613.51</v>
      </c>
      <c r="E16" s="380">
        <v>403.33</v>
      </c>
      <c r="F16" s="380">
        <v>216.24</v>
      </c>
      <c r="G16" s="380">
        <v>-546.17999999999995</v>
      </c>
      <c r="H16" s="380">
        <v>-957.01</v>
      </c>
      <c r="I16" s="380">
        <v>-1305.9100000000001</v>
      </c>
      <c r="J16" s="380">
        <f t="shared" si="0"/>
        <v>110.17814592079881</v>
      </c>
      <c r="K16" s="380">
        <f t="shared" si="1"/>
        <v>533.85833623390181</v>
      </c>
      <c r="L16" s="380">
        <f t="shared" si="2"/>
        <v>330.90213966920453</v>
      </c>
      <c r="M16" s="380">
        <f t="shared" si="3"/>
        <v>162.78474532889686</v>
      </c>
      <c r="N16" s="380">
        <f t="shared" si="4"/>
        <v>-378.81288926495671</v>
      </c>
      <c r="O16" s="380">
        <f t="shared" si="5"/>
        <v>-619.32774196888511</v>
      </c>
      <c r="P16" s="380">
        <f t="shared" si="6"/>
        <v>-790.45935754105403</v>
      </c>
    </row>
    <row r="17" spans="1:16" ht="18" customHeight="1">
      <c r="A17" s="412">
        <v>11</v>
      </c>
      <c r="B17" s="383" t="s">
        <v>22</v>
      </c>
      <c r="C17" s="380">
        <v>2791.8899907176669</v>
      </c>
      <c r="D17" s="380">
        <v>2197.4219164651504</v>
      </c>
      <c r="E17" s="380">
        <v>2151.9880000000012</v>
      </c>
      <c r="F17" s="380">
        <v>3019.5424999999987</v>
      </c>
      <c r="G17" s="380">
        <v>-455.47</v>
      </c>
      <c r="H17" s="380">
        <v>-827.05</v>
      </c>
      <c r="I17" s="380">
        <v>-1006</v>
      </c>
      <c r="J17" s="380">
        <f t="shared" si="0"/>
        <v>2639.9353140414414</v>
      </c>
      <c r="K17" s="380">
        <f t="shared" si="1"/>
        <v>1912.1318451663335</v>
      </c>
      <c r="L17" s="380">
        <f t="shared" si="2"/>
        <v>1765.5454187450785</v>
      </c>
      <c r="M17" s="380">
        <f t="shared" si="3"/>
        <v>2273.1014468751405</v>
      </c>
      <c r="N17" s="380">
        <f t="shared" si="4"/>
        <v>-315.89934943335504</v>
      </c>
      <c r="O17" s="380">
        <f t="shared" si="5"/>
        <v>-535.22430172659267</v>
      </c>
      <c r="P17" s="380">
        <f t="shared" si="6"/>
        <v>-608.92566385608529</v>
      </c>
    </row>
    <row r="18" spans="1:16" s="300" customFormat="1">
      <c r="A18" s="413"/>
      <c r="B18" s="379" t="s">
        <v>229</v>
      </c>
      <c r="C18" s="384">
        <f t="shared" ref="C18:I18" si="7">+SUM(C7:C17)</f>
        <v>6644.0299907176659</v>
      </c>
      <c r="D18" s="384">
        <f t="shared" si="7"/>
        <v>8547.7819164651519</v>
      </c>
      <c r="E18" s="384">
        <f t="shared" si="7"/>
        <v>4500.1880000000037</v>
      </c>
      <c r="F18" s="384">
        <f t="shared" si="7"/>
        <v>5328.2724999999991</v>
      </c>
      <c r="G18" s="384">
        <f t="shared" si="7"/>
        <v>-10732.71</v>
      </c>
      <c r="H18" s="384">
        <f t="shared" si="7"/>
        <v>-13873.069999999998</v>
      </c>
      <c r="I18" s="384">
        <f t="shared" si="7"/>
        <v>-14175.890000000001</v>
      </c>
      <c r="J18" s="384">
        <f t="shared" si="0"/>
        <v>6282.4142277673755</v>
      </c>
      <c r="K18" s="384">
        <f t="shared" si="1"/>
        <v>7438.0281208363658</v>
      </c>
      <c r="L18" s="384">
        <f t="shared" si="2"/>
        <v>3692.0681281176194</v>
      </c>
      <c r="M18" s="384">
        <f t="shared" si="3"/>
        <v>4011.1056324244564</v>
      </c>
      <c r="N18" s="384">
        <f t="shared" si="4"/>
        <v>-7443.8626180799256</v>
      </c>
      <c r="O18" s="384">
        <f t="shared" si="5"/>
        <v>-8977.9387020786398</v>
      </c>
      <c r="P18" s="384">
        <f t="shared" si="6"/>
        <v>-8580.5797504978545</v>
      </c>
    </row>
    <row r="19" spans="1:16" ht="18.75" customHeight="1">
      <c r="A19" s="411" t="s">
        <v>230</v>
      </c>
      <c r="B19" s="379" t="s">
        <v>310</v>
      </c>
      <c r="C19" s="377"/>
      <c r="D19" s="377"/>
      <c r="E19" s="377"/>
      <c r="F19" s="377"/>
      <c r="G19" s="414"/>
      <c r="H19" s="414"/>
      <c r="I19" s="414"/>
      <c r="J19" s="380"/>
      <c r="K19" s="380"/>
      <c r="L19" s="380"/>
      <c r="M19" s="380"/>
      <c r="N19" s="380"/>
      <c r="O19" s="380"/>
      <c r="P19" s="380"/>
    </row>
    <row r="20" spans="1:16" ht="15.75">
      <c r="A20" s="412">
        <v>1</v>
      </c>
      <c r="B20" s="383" t="s">
        <v>25</v>
      </c>
      <c r="C20" s="380">
        <v>23385.72</v>
      </c>
      <c r="D20" s="380">
        <v>26590.45</v>
      </c>
      <c r="E20" s="380">
        <v>25150.87</v>
      </c>
      <c r="F20" s="380">
        <v>28274.32</v>
      </c>
      <c r="G20" s="380">
        <v>34346.19</v>
      </c>
      <c r="H20" s="380">
        <v>17627.900000000001</v>
      </c>
      <c r="I20" s="380">
        <v>22969.47</v>
      </c>
      <c r="J20" s="380">
        <f t="shared" ref="J20:J38" si="8">+C20/C$46</f>
        <v>22112.901395665493</v>
      </c>
      <c r="K20" s="380">
        <f t="shared" ref="K20:K38" si="9">+D20/D$46</f>
        <v>23138.226592412113</v>
      </c>
      <c r="L20" s="380">
        <f t="shared" ref="L20:L38" si="10">+E20/E$46</f>
        <v>20634.410278288266</v>
      </c>
      <c r="M20" s="380">
        <f t="shared" ref="M20:M38" si="11">+F20/F$46</f>
        <v>21284.813080594409</v>
      </c>
      <c r="N20" s="380">
        <f t="shared" ref="N20:N38" si="12">+G20/G$46</f>
        <v>23821.41321385471</v>
      </c>
      <c r="O20" s="380">
        <f t="shared" ref="O20:O38" si="13">+H20/H$46</f>
        <v>11407.871916336622</v>
      </c>
      <c r="P20" s="380">
        <f t="shared" ref="P20:P38" si="14">+I20/I$46</f>
        <v>13903.280087646557</v>
      </c>
    </row>
    <row r="21" spans="1:16" ht="15.75">
      <c r="A21" s="412">
        <v>2</v>
      </c>
      <c r="B21" s="383" t="s">
        <v>26</v>
      </c>
      <c r="C21" s="380">
        <v>7576.45</v>
      </c>
      <c r="D21" s="380">
        <v>10092.76</v>
      </c>
      <c r="E21" s="380">
        <v>12665.54</v>
      </c>
      <c r="F21" s="380">
        <v>14014.59</v>
      </c>
      <c r="G21" s="380">
        <v>15052.586317000003</v>
      </c>
      <c r="H21" s="380">
        <v>10984.54</v>
      </c>
      <c r="I21" s="380">
        <v>16073.7</v>
      </c>
      <c r="J21" s="380">
        <f t="shared" si="8"/>
        <v>7164.0852528461737</v>
      </c>
      <c r="K21" s="380">
        <f t="shared" si="9"/>
        <v>8782.4225548207451</v>
      </c>
      <c r="L21" s="380">
        <f t="shared" si="10"/>
        <v>10391.129561564716</v>
      </c>
      <c r="M21" s="380">
        <f t="shared" si="11"/>
        <v>10550.136256191754</v>
      </c>
      <c r="N21" s="380">
        <f t="shared" si="12"/>
        <v>10439.989955056804</v>
      </c>
      <c r="O21" s="380">
        <f t="shared" si="13"/>
        <v>7108.6303745696468</v>
      </c>
      <c r="P21" s="380">
        <f t="shared" si="14"/>
        <v>9729.3125677172557</v>
      </c>
    </row>
    <row r="22" spans="1:16" ht="15.75">
      <c r="A22" s="412">
        <v>3</v>
      </c>
      <c r="B22" s="383" t="s">
        <v>27</v>
      </c>
      <c r="C22" s="380">
        <v>5421.31</v>
      </c>
      <c r="D22" s="380">
        <v>5780.09</v>
      </c>
      <c r="E22" s="380">
        <v>8098.83</v>
      </c>
      <c r="F22" s="380">
        <v>9226.2099999999991</v>
      </c>
      <c r="G22" s="380">
        <v>13985.55</v>
      </c>
      <c r="H22" s="380">
        <v>11805.87</v>
      </c>
      <c r="I22" s="380">
        <v>15530.23</v>
      </c>
      <c r="J22" s="380">
        <f t="shared" si="8"/>
        <v>5126.2434282688455</v>
      </c>
      <c r="K22" s="380">
        <f t="shared" si="9"/>
        <v>5029.6641141663767</v>
      </c>
      <c r="L22" s="380">
        <f t="shared" si="10"/>
        <v>6644.4851010763978</v>
      </c>
      <c r="M22" s="380">
        <f t="shared" si="11"/>
        <v>6945.4598834670805</v>
      </c>
      <c r="N22" s="380">
        <f t="shared" si="12"/>
        <v>9699.9278689434177</v>
      </c>
      <c r="O22" s="380">
        <f t="shared" si="13"/>
        <v>7640.1529859439315</v>
      </c>
      <c r="P22" s="380">
        <f t="shared" si="14"/>
        <v>9400.3534916378649</v>
      </c>
    </row>
    <row r="23" spans="1:16" ht="15.75">
      <c r="A23" s="412">
        <v>4</v>
      </c>
      <c r="B23" s="383" t="s">
        <v>28</v>
      </c>
      <c r="C23" s="380">
        <v>1182.3800000000001</v>
      </c>
      <c r="D23" s="380">
        <v>1421.0597699999996</v>
      </c>
      <c r="E23" s="380">
        <v>2141.13</v>
      </c>
      <c r="F23" s="380">
        <v>2001.84</v>
      </c>
      <c r="G23" s="380">
        <v>1445.24</v>
      </c>
      <c r="H23" s="380">
        <v>1978.69</v>
      </c>
      <c r="I23" s="380">
        <v>2749.13</v>
      </c>
      <c r="J23" s="380">
        <f t="shared" si="8"/>
        <v>1118.0264003933582</v>
      </c>
      <c r="K23" s="380">
        <f t="shared" si="9"/>
        <v>1236.5643665158368</v>
      </c>
      <c r="L23" s="380">
        <f t="shared" si="10"/>
        <v>1756.6372407456026</v>
      </c>
      <c r="M23" s="380">
        <f t="shared" si="11"/>
        <v>1506.9784248483115</v>
      </c>
      <c r="N23" s="380">
        <f t="shared" si="12"/>
        <v>1002.3720020529607</v>
      </c>
      <c r="O23" s="380">
        <f t="shared" si="13"/>
        <v>1280.5065879733893</v>
      </c>
      <c r="P23" s="380">
        <f t="shared" si="14"/>
        <v>1664.0316205533597</v>
      </c>
    </row>
    <row r="24" spans="1:16" ht="15.75">
      <c r="A24" s="412">
        <v>5</v>
      </c>
      <c r="B24" s="383" t="s">
        <v>29</v>
      </c>
      <c r="C24" s="380">
        <v>13528.99</v>
      </c>
      <c r="D24" s="380">
        <v>19968.400000000001</v>
      </c>
      <c r="E24" s="380">
        <v>20858.12</v>
      </c>
      <c r="F24" s="380">
        <v>25523</v>
      </c>
      <c r="G24" s="380">
        <v>14231.46</v>
      </c>
      <c r="H24" s="380">
        <v>21327.99</v>
      </c>
      <c r="I24" s="380">
        <v>25271.84</v>
      </c>
      <c r="J24" s="380">
        <f t="shared" si="8"/>
        <v>12792.645334543666</v>
      </c>
      <c r="K24" s="380">
        <f t="shared" si="9"/>
        <v>17375.913679081103</v>
      </c>
      <c r="L24" s="380">
        <f t="shared" si="10"/>
        <v>17112.529535311103</v>
      </c>
      <c r="M24" s="380">
        <f t="shared" si="11"/>
        <v>19213.628630361796</v>
      </c>
      <c r="N24" s="380">
        <f t="shared" si="12"/>
        <v>9870.4831393655222</v>
      </c>
      <c r="O24" s="380">
        <f t="shared" si="13"/>
        <v>13802.380212782482</v>
      </c>
      <c r="P24" s="380">
        <f t="shared" si="14"/>
        <v>15296.890605233371</v>
      </c>
    </row>
    <row r="25" spans="1:16" ht="15.75">
      <c r="A25" s="412">
        <v>6</v>
      </c>
      <c r="B25" s="383" t="s">
        <v>30</v>
      </c>
      <c r="C25" s="380">
        <v>10318.379999999999</v>
      </c>
      <c r="D25" s="380">
        <v>13308.7</v>
      </c>
      <c r="E25" s="380">
        <v>18059.849999999999</v>
      </c>
      <c r="F25" s="380">
        <v>15043.62</v>
      </c>
      <c r="G25" s="380">
        <v>19086.38</v>
      </c>
      <c r="H25" s="380">
        <v>5048.0600000000004</v>
      </c>
      <c r="I25" s="380">
        <v>4977.41</v>
      </c>
      <c r="J25" s="380">
        <f t="shared" si="8"/>
        <v>9756.779757176897</v>
      </c>
      <c r="K25" s="380">
        <f t="shared" si="9"/>
        <v>11580.838844413505</v>
      </c>
      <c r="L25" s="380">
        <f t="shared" si="10"/>
        <v>14816.758007351011</v>
      </c>
      <c r="M25" s="380">
        <f t="shared" si="11"/>
        <v>11324.786582152699</v>
      </c>
      <c r="N25" s="380">
        <f t="shared" si="12"/>
        <v>13237.699574149339</v>
      </c>
      <c r="O25" s="380">
        <f t="shared" si="13"/>
        <v>3266.8452796976526</v>
      </c>
      <c r="P25" s="380">
        <f t="shared" si="14"/>
        <v>3012.7959130555842</v>
      </c>
    </row>
    <row r="26" spans="1:16" ht="15.75">
      <c r="A26" s="412">
        <v>7</v>
      </c>
      <c r="B26" s="383" t="s">
        <v>31</v>
      </c>
      <c r="C26" s="380">
        <v>4295.13</v>
      </c>
      <c r="D26" s="380">
        <v>5143.67</v>
      </c>
      <c r="E26" s="380">
        <v>5075.29</v>
      </c>
      <c r="F26" s="380">
        <v>5699.5761000000002</v>
      </c>
      <c r="G26" s="380">
        <v>5589.78</v>
      </c>
      <c r="H26" s="380">
        <v>8143.27</v>
      </c>
      <c r="I26" s="380">
        <v>8564.33</v>
      </c>
      <c r="J26" s="380">
        <f t="shared" si="8"/>
        <v>4061.3582208101666</v>
      </c>
      <c r="K26" s="380">
        <f t="shared" si="9"/>
        <v>4475.8701705534286</v>
      </c>
      <c r="L26" s="380">
        <f t="shared" si="10"/>
        <v>4163.8963638750329</v>
      </c>
      <c r="M26" s="380">
        <f t="shared" si="11"/>
        <v>4290.6217347445763</v>
      </c>
      <c r="N26" s="380">
        <f t="shared" si="12"/>
        <v>3876.8917063156282</v>
      </c>
      <c r="O26" s="380">
        <f t="shared" si="13"/>
        <v>5269.9062928735993</v>
      </c>
      <c r="P26" s="380">
        <f t="shared" si="14"/>
        <v>5183.9367104697685</v>
      </c>
    </row>
    <row r="27" spans="1:16" ht="15.75">
      <c r="A27" s="412">
        <v>8</v>
      </c>
      <c r="B27" s="383" t="s">
        <v>32</v>
      </c>
      <c r="C27" s="380">
        <v>15162.839039999999</v>
      </c>
      <c r="D27" s="380">
        <v>21005.0075</v>
      </c>
      <c r="E27" s="380">
        <v>23983.444439590945</v>
      </c>
      <c r="F27" s="380">
        <v>26812.107840362019</v>
      </c>
      <c r="G27" s="380">
        <v>23293.95</v>
      </c>
      <c r="H27" s="380">
        <v>20636.509999999998</v>
      </c>
      <c r="I27" s="380">
        <v>18798.5</v>
      </c>
      <c r="J27" s="380">
        <f t="shared" si="8"/>
        <v>14337.568591852943</v>
      </c>
      <c r="K27" s="380">
        <f t="shared" si="9"/>
        <v>18277.939001044204</v>
      </c>
      <c r="L27" s="380">
        <f t="shared" si="10"/>
        <v>19676.624802762326</v>
      </c>
      <c r="M27" s="380">
        <f t="shared" si="11"/>
        <v>20184.064680559797</v>
      </c>
      <c r="N27" s="380">
        <f t="shared" si="12"/>
        <v>16155.934860107363</v>
      </c>
      <c r="O27" s="380">
        <f t="shared" si="13"/>
        <v>13354.889855297559</v>
      </c>
      <c r="P27" s="380">
        <f t="shared" si="14"/>
        <v>11378.617387672584</v>
      </c>
    </row>
    <row r="28" spans="1:16" ht="15.75">
      <c r="A28" s="412">
        <v>9</v>
      </c>
      <c r="B28" s="383" t="s">
        <v>33</v>
      </c>
      <c r="C28" s="380">
        <v>4958.0100000000057</v>
      </c>
      <c r="D28" s="380">
        <v>5401.4126712999987</v>
      </c>
      <c r="E28" s="380">
        <v>7775.8</v>
      </c>
      <c r="F28" s="380">
        <v>8492.16</v>
      </c>
      <c r="G28" s="380">
        <v>8490.8512853446882</v>
      </c>
      <c r="H28" s="380">
        <v>-4329.97</v>
      </c>
      <c r="I28" s="380">
        <v>-2269.0700000000002</v>
      </c>
      <c r="J28" s="380">
        <f t="shared" si="8"/>
        <v>4688.1595370475488</v>
      </c>
      <c r="K28" s="380">
        <f t="shared" si="9"/>
        <v>4700.1502534806814</v>
      </c>
      <c r="L28" s="380">
        <f t="shared" si="10"/>
        <v>6379.4631136781309</v>
      </c>
      <c r="M28" s="380">
        <f t="shared" si="11"/>
        <v>6392.8695102305064</v>
      </c>
      <c r="N28" s="380">
        <f t="shared" si="12"/>
        <v>5888.9814854452616</v>
      </c>
      <c r="O28" s="380">
        <f t="shared" si="13"/>
        <v>-2802.1342962905442</v>
      </c>
      <c r="P28" s="380">
        <f t="shared" si="14"/>
        <v>-1373.4542307017173</v>
      </c>
    </row>
    <row r="29" spans="1:16" ht="15.75">
      <c r="A29" s="412">
        <v>10</v>
      </c>
      <c r="B29" s="383" t="s">
        <v>34</v>
      </c>
      <c r="C29" s="380">
        <v>8173.75</v>
      </c>
      <c r="D29" s="380">
        <v>9125.0400000000009</v>
      </c>
      <c r="E29" s="380">
        <v>11458.4</v>
      </c>
      <c r="F29" s="380">
        <v>14471.31</v>
      </c>
      <c r="G29" s="380">
        <v>23109.75</v>
      </c>
      <c r="H29" s="380">
        <v>14503.28</v>
      </c>
      <c r="I29" s="380">
        <v>14291.75</v>
      </c>
      <c r="J29" s="380">
        <f t="shared" si="8"/>
        <v>7728.8759030220508</v>
      </c>
      <c r="K29" s="380">
        <f t="shared" si="9"/>
        <v>7940.3411068569449</v>
      </c>
      <c r="L29" s="380">
        <f t="shared" si="10"/>
        <v>9400.7613546862685</v>
      </c>
      <c r="M29" s="380">
        <f t="shared" si="11"/>
        <v>10893.95353739141</v>
      </c>
      <c r="N29" s="380">
        <f t="shared" si="12"/>
        <v>16028.179661816313</v>
      </c>
      <c r="O29" s="380">
        <f t="shared" si="13"/>
        <v>9385.7782609821134</v>
      </c>
      <c r="P29" s="380">
        <f t="shared" si="14"/>
        <v>8650.7091018043811</v>
      </c>
    </row>
    <row r="30" spans="1:16" ht="15.75">
      <c r="A30" s="412">
        <v>11</v>
      </c>
      <c r="B30" s="383" t="s">
        <v>35</v>
      </c>
      <c r="C30" s="380">
        <v>14881.12</v>
      </c>
      <c r="D30" s="380">
        <v>16609.41</v>
      </c>
      <c r="E30" s="380">
        <v>24531.759999999998</v>
      </c>
      <c r="F30" s="380">
        <v>25664.61</v>
      </c>
      <c r="G30" s="380">
        <v>34502.58</v>
      </c>
      <c r="H30" s="380">
        <v>12194.27</v>
      </c>
      <c r="I30" s="380">
        <v>16575.88</v>
      </c>
      <c r="J30" s="380">
        <f t="shared" si="8"/>
        <v>14071.182722493286</v>
      </c>
      <c r="K30" s="380">
        <f t="shared" si="9"/>
        <v>14453.019491820396</v>
      </c>
      <c r="L30" s="380">
        <f t="shared" si="10"/>
        <v>20126.476765555264</v>
      </c>
      <c r="M30" s="380">
        <f t="shared" si="11"/>
        <v>19320.23216248363</v>
      </c>
      <c r="N30" s="380">
        <f t="shared" si="12"/>
        <v>23929.88029018879</v>
      </c>
      <c r="O30" s="380">
        <f t="shared" si="13"/>
        <v>7891.5055266495829</v>
      </c>
      <c r="P30" s="380">
        <f t="shared" si="14"/>
        <v>10033.279058646925</v>
      </c>
    </row>
    <row r="31" spans="1:16" ht="15.75">
      <c r="A31" s="412">
        <v>12</v>
      </c>
      <c r="B31" s="383" t="s">
        <v>74</v>
      </c>
      <c r="C31" s="380">
        <v>3787.85</v>
      </c>
      <c r="D31" s="380">
        <v>5048.78</v>
      </c>
      <c r="E31" s="380">
        <v>6627.6063999999997</v>
      </c>
      <c r="F31" s="380">
        <v>7961.47</v>
      </c>
      <c r="G31" s="380">
        <v>9645.1200000000008</v>
      </c>
      <c r="H31" s="380">
        <v>8385.7000000000007</v>
      </c>
      <c r="I31" s="380">
        <v>9693.5300000000007</v>
      </c>
      <c r="J31" s="380">
        <f t="shared" si="8"/>
        <v>3581.6880366125797</v>
      </c>
      <c r="K31" s="380">
        <f t="shared" si="9"/>
        <v>4393.2996867386009</v>
      </c>
      <c r="L31" s="380">
        <f t="shared" si="10"/>
        <v>5437.4560252034653</v>
      </c>
      <c r="M31" s="380">
        <f t="shared" si="11"/>
        <v>5993.3678616058669</v>
      </c>
      <c r="N31" s="380">
        <f t="shared" si="12"/>
        <v>6689.5451582028272</v>
      </c>
      <c r="O31" s="380">
        <f t="shared" si="13"/>
        <v>5426.794543242474</v>
      </c>
      <c r="P31" s="380">
        <f t="shared" si="14"/>
        <v>5867.4345828617088</v>
      </c>
    </row>
    <row r="32" spans="1:16" ht="15.75">
      <c r="A32" s="412">
        <v>13</v>
      </c>
      <c r="B32" s="383" t="s">
        <v>36</v>
      </c>
      <c r="C32" s="380">
        <v>4481.9399999999996</v>
      </c>
      <c r="D32" s="380">
        <v>5994.46</v>
      </c>
      <c r="E32" s="380">
        <v>3419.36</v>
      </c>
      <c r="F32" s="380">
        <v>6676.36</v>
      </c>
      <c r="G32" s="380">
        <v>5545.33</v>
      </c>
      <c r="H32" s="380">
        <v>-6115.51</v>
      </c>
      <c r="I32" s="380">
        <v>-2653.86</v>
      </c>
      <c r="J32" s="380">
        <f t="shared" si="8"/>
        <v>4238.0006808124353</v>
      </c>
      <c r="K32" s="380">
        <f t="shared" si="9"/>
        <v>5216.2025757048386</v>
      </c>
      <c r="L32" s="380">
        <f t="shared" si="10"/>
        <v>2805.3294828038856</v>
      </c>
      <c r="M32" s="380">
        <f t="shared" si="11"/>
        <v>5025.9413721977144</v>
      </c>
      <c r="N32" s="380">
        <f t="shared" si="12"/>
        <v>3846.0626153056551</v>
      </c>
      <c r="O32" s="380">
        <f t="shared" si="13"/>
        <v>-3957.6441200072481</v>
      </c>
      <c r="P32" s="380">
        <f t="shared" si="14"/>
        <v>-1606.3652706571677</v>
      </c>
    </row>
    <row r="33" spans="1:16" ht="15.75">
      <c r="A33" s="412">
        <v>14</v>
      </c>
      <c r="B33" s="383" t="s">
        <v>37</v>
      </c>
      <c r="C33" s="380">
        <v>10867.54</v>
      </c>
      <c r="D33" s="380">
        <v>12478.36</v>
      </c>
      <c r="E33" s="380">
        <v>16355.44</v>
      </c>
      <c r="F33" s="380">
        <v>19188.84</v>
      </c>
      <c r="G33" s="380">
        <v>24990.9</v>
      </c>
      <c r="H33" s="380">
        <v>10496.83</v>
      </c>
      <c r="I33" s="380">
        <v>11277.26</v>
      </c>
      <c r="J33" s="380">
        <f t="shared" si="8"/>
        <v>10276.050531411929</v>
      </c>
      <c r="K33" s="380">
        <f t="shared" si="9"/>
        <v>10858.301427079708</v>
      </c>
      <c r="L33" s="380">
        <f t="shared" si="10"/>
        <v>13418.416907324758</v>
      </c>
      <c r="M33" s="380">
        <f t="shared" si="11"/>
        <v>14445.294268206388</v>
      </c>
      <c r="N33" s="380">
        <f t="shared" si="12"/>
        <v>17332.884826122539</v>
      </c>
      <c r="O33" s="380">
        <f t="shared" si="13"/>
        <v>6793.0095001423733</v>
      </c>
      <c r="P33" s="380">
        <f t="shared" si="14"/>
        <v>6826.0566918267159</v>
      </c>
    </row>
    <row r="34" spans="1:16" ht="15.75">
      <c r="A34" s="412">
        <v>15</v>
      </c>
      <c r="B34" s="383" t="s">
        <v>38</v>
      </c>
      <c r="C34" s="380">
        <v>12058.532299999999</v>
      </c>
      <c r="D34" s="380">
        <v>12897.41</v>
      </c>
      <c r="E34" s="380">
        <v>15580.27</v>
      </c>
      <c r="F34" s="380">
        <v>18322.87</v>
      </c>
      <c r="G34" s="380">
        <v>15248.46</v>
      </c>
      <c r="H34" s="380">
        <v>2992.16</v>
      </c>
      <c r="I34" s="380">
        <v>9714.39</v>
      </c>
      <c r="J34" s="380">
        <f t="shared" si="8"/>
        <v>11402.220488672036</v>
      </c>
      <c r="K34" s="380">
        <f t="shared" si="9"/>
        <v>11222.946397493908</v>
      </c>
      <c r="L34" s="380">
        <f t="shared" si="10"/>
        <v>12782.447820950381</v>
      </c>
      <c r="M34" s="380">
        <f t="shared" si="11"/>
        <v>13793.394962284889</v>
      </c>
      <c r="N34" s="380">
        <f t="shared" si="12"/>
        <v>10575.841644588088</v>
      </c>
      <c r="O34" s="380">
        <f t="shared" si="13"/>
        <v>1936.3723434547385</v>
      </c>
      <c r="P34" s="380">
        <f t="shared" si="14"/>
        <v>5880.0610136251653</v>
      </c>
    </row>
    <row r="35" spans="1:16" ht="15.75">
      <c r="A35" s="412">
        <v>16</v>
      </c>
      <c r="B35" s="383" t="s">
        <v>39</v>
      </c>
      <c r="C35" s="380">
        <v>22453.53</v>
      </c>
      <c r="D35" s="380">
        <v>29602.29</v>
      </c>
      <c r="E35" s="380">
        <v>27817.84</v>
      </c>
      <c r="F35" s="380">
        <v>31557.93</v>
      </c>
      <c r="G35" s="380">
        <v>14541.31</v>
      </c>
      <c r="H35" s="380">
        <v>29061.29</v>
      </c>
      <c r="I35" s="380">
        <v>27077.119999999999</v>
      </c>
      <c r="J35" s="380">
        <f t="shared" si="8"/>
        <v>21231.447861114262</v>
      </c>
      <c r="K35" s="380">
        <f t="shared" si="9"/>
        <v>25759.041072050124</v>
      </c>
      <c r="L35" s="380">
        <f t="shared" si="10"/>
        <v>22822.459963244946</v>
      </c>
      <c r="M35" s="380">
        <f t="shared" si="11"/>
        <v>23756.703654074889</v>
      </c>
      <c r="N35" s="380">
        <f t="shared" si="12"/>
        <v>10085.385138228072</v>
      </c>
      <c r="O35" s="380">
        <f t="shared" si="13"/>
        <v>18806.974968289716</v>
      </c>
      <c r="P35" s="380">
        <f t="shared" si="14"/>
        <v>16389.615577843822</v>
      </c>
    </row>
    <row r="36" spans="1:16" ht="15.75">
      <c r="A36" s="412">
        <v>17</v>
      </c>
      <c r="B36" s="383" t="s">
        <v>40</v>
      </c>
      <c r="C36" s="380">
        <v>4934.16</v>
      </c>
      <c r="D36" s="380">
        <v>5736.59</v>
      </c>
      <c r="E36" s="380">
        <v>9489.65</v>
      </c>
      <c r="F36" s="380">
        <v>9533.7800000000007</v>
      </c>
      <c r="G36" s="380">
        <v>-4174.3500000000004</v>
      </c>
      <c r="H36" s="380">
        <v>-9814.75</v>
      </c>
      <c r="I36" s="380">
        <v>-1387.11</v>
      </c>
      <c r="J36" s="380">
        <f t="shared" si="8"/>
        <v>4665.6076250992846</v>
      </c>
      <c r="K36" s="380">
        <f t="shared" si="9"/>
        <v>4991.8116950922386</v>
      </c>
      <c r="L36" s="380">
        <f t="shared" si="10"/>
        <v>7785.549028616435</v>
      </c>
      <c r="M36" s="380">
        <f t="shared" si="11"/>
        <v>7176.9975458829558</v>
      </c>
      <c r="N36" s="380">
        <f t="shared" si="12"/>
        <v>-2895.194961923125</v>
      </c>
      <c r="O36" s="380">
        <f t="shared" si="13"/>
        <v>-6351.6023400895656</v>
      </c>
      <c r="P36" s="380">
        <f t="shared" si="14"/>
        <v>-839.60922225786726</v>
      </c>
    </row>
    <row r="37" spans="1:16" s="300" customFormat="1">
      <c r="A37" s="413"/>
      <c r="B37" s="379" t="s">
        <v>192</v>
      </c>
      <c r="C37" s="384">
        <f t="shared" ref="C37:I37" si="15">+SUM(C20:C36)</f>
        <v>167467.63134000002</v>
      </c>
      <c r="D37" s="384">
        <f t="shared" si="15"/>
        <v>206203.8899413</v>
      </c>
      <c r="E37" s="384">
        <f t="shared" si="15"/>
        <v>239089.20083959092</v>
      </c>
      <c r="F37" s="384">
        <f t="shared" si="15"/>
        <v>268464.59394036199</v>
      </c>
      <c r="G37" s="384">
        <f t="shared" si="15"/>
        <v>258931.08760234466</v>
      </c>
      <c r="H37" s="384">
        <f t="shared" si="15"/>
        <v>154926.13</v>
      </c>
      <c r="I37" s="384">
        <f t="shared" si="15"/>
        <v>197254.5</v>
      </c>
      <c r="J37" s="384">
        <f t="shared" si="8"/>
        <v>158352.84176784297</v>
      </c>
      <c r="K37" s="384">
        <f t="shared" si="9"/>
        <v>179432.55302932474</v>
      </c>
      <c r="L37" s="384">
        <f t="shared" si="10"/>
        <v>196154.83135303797</v>
      </c>
      <c r="M37" s="384">
        <f t="shared" si="11"/>
        <v>202099.24414727866</v>
      </c>
      <c r="N37" s="384">
        <f t="shared" si="12"/>
        <v>179586.27817782015</v>
      </c>
      <c r="O37" s="384">
        <f t="shared" si="13"/>
        <v>100260.23789184852</v>
      </c>
      <c r="P37" s="384">
        <f t="shared" si="14"/>
        <v>119396.9456869783</v>
      </c>
    </row>
    <row r="38" spans="1:16" s="300" customFormat="1">
      <c r="A38" s="413"/>
      <c r="B38" s="379" t="s">
        <v>86</v>
      </c>
      <c r="C38" s="384">
        <f t="shared" ref="C38:I38" si="16">+C37+C18</f>
        <v>174111.66133071767</v>
      </c>
      <c r="D38" s="384">
        <f t="shared" si="16"/>
        <v>214751.67185776515</v>
      </c>
      <c r="E38" s="384">
        <f t="shared" si="16"/>
        <v>243589.38883959092</v>
      </c>
      <c r="F38" s="384">
        <f t="shared" si="16"/>
        <v>273792.86644036201</v>
      </c>
      <c r="G38" s="384">
        <f t="shared" si="16"/>
        <v>248198.37760234467</v>
      </c>
      <c r="H38" s="384">
        <f t="shared" si="16"/>
        <v>141053.06</v>
      </c>
      <c r="I38" s="384">
        <f t="shared" si="16"/>
        <v>183078.61</v>
      </c>
      <c r="J38" s="384">
        <f t="shared" si="8"/>
        <v>164635.25599561032</v>
      </c>
      <c r="K38" s="384">
        <f t="shared" si="9"/>
        <v>186870.5811501611</v>
      </c>
      <c r="L38" s="384">
        <f t="shared" si="10"/>
        <v>199846.89948115559</v>
      </c>
      <c r="M38" s="384">
        <f t="shared" si="11"/>
        <v>206110.34977970313</v>
      </c>
      <c r="N38" s="384">
        <f t="shared" si="12"/>
        <v>172142.41555974021</v>
      </c>
      <c r="O38" s="384">
        <f t="shared" si="13"/>
        <v>91282.299189769881</v>
      </c>
      <c r="P38" s="384">
        <f t="shared" si="14"/>
        <v>110816.36593648045</v>
      </c>
    </row>
    <row r="39" spans="1:16" s="300" customFormat="1" ht="15.75">
      <c r="A39" s="411" t="s">
        <v>231</v>
      </c>
      <c r="B39" s="379" t="s">
        <v>244</v>
      </c>
      <c r="C39" s="384"/>
      <c r="D39" s="384"/>
      <c r="E39" s="384"/>
      <c r="F39" s="384"/>
      <c r="G39" s="384"/>
      <c r="H39" s="384"/>
      <c r="I39" s="384"/>
      <c r="J39" s="380"/>
      <c r="K39" s="380"/>
      <c r="L39" s="380"/>
      <c r="M39" s="380"/>
      <c r="N39" s="380"/>
      <c r="O39" s="380"/>
      <c r="P39" s="380"/>
    </row>
    <row r="40" spans="1:16" ht="15" customHeight="1">
      <c r="A40" s="412">
        <v>1</v>
      </c>
      <c r="B40" s="383" t="s">
        <v>233</v>
      </c>
      <c r="C40" s="380">
        <v>8027.1270999999988</v>
      </c>
      <c r="D40" s="380">
        <v>8826.4153000000006</v>
      </c>
      <c r="E40" s="380">
        <v>9575.9145000000008</v>
      </c>
      <c r="F40" s="380">
        <v>10319.49</v>
      </c>
      <c r="G40" s="380">
        <v>17907.55</v>
      </c>
      <c r="H40" s="380">
        <v>15792.94</v>
      </c>
      <c r="I40" s="380">
        <v>16183.3</v>
      </c>
      <c r="J40" s="380">
        <f t="shared" ref="J40:P42" si="17">+C40/C$46</f>
        <v>7590.2332728166712</v>
      </c>
      <c r="K40" s="380">
        <f t="shared" si="17"/>
        <v>7680.4866863905327</v>
      </c>
      <c r="L40" s="380">
        <f t="shared" si="17"/>
        <v>7856.3226076398014</v>
      </c>
      <c r="M40" s="380">
        <f t="shared" si="17"/>
        <v>7768.477393516916</v>
      </c>
      <c r="N40" s="380">
        <f t="shared" si="17"/>
        <v>12420.100983479213</v>
      </c>
      <c r="O40" s="380">
        <f t="shared" si="17"/>
        <v>10220.380005694909</v>
      </c>
      <c r="P40" s="380">
        <f t="shared" si="17"/>
        <v>9795.6527792069428</v>
      </c>
    </row>
    <row r="41" spans="1:16" ht="15.75" customHeight="1">
      <c r="A41" s="412">
        <v>2</v>
      </c>
      <c r="B41" s="383" t="s">
        <v>44</v>
      </c>
      <c r="C41" s="380">
        <v>829.23530000000005</v>
      </c>
      <c r="D41" s="380">
        <v>903.84839999999997</v>
      </c>
      <c r="E41" s="380">
        <v>1231.7179999999998</v>
      </c>
      <c r="F41" s="380">
        <v>1382.08</v>
      </c>
      <c r="G41" s="380">
        <v>1405.23</v>
      </c>
      <c r="H41" s="380">
        <v>470.19</v>
      </c>
      <c r="I41" s="380">
        <v>605.32000000000005</v>
      </c>
      <c r="J41" s="380">
        <f t="shared" si="17"/>
        <v>784.10236771436132</v>
      </c>
      <c r="K41" s="380">
        <f t="shared" si="17"/>
        <v>786.50226244343889</v>
      </c>
      <c r="L41" s="380">
        <f t="shared" si="17"/>
        <v>1010.532620110265</v>
      </c>
      <c r="M41" s="380">
        <f t="shared" si="17"/>
        <v>1040.4251795419987</v>
      </c>
      <c r="N41" s="380">
        <f t="shared" si="17"/>
        <v>974.62235230472595</v>
      </c>
      <c r="O41" s="380">
        <f t="shared" si="17"/>
        <v>304.28282985167351</v>
      </c>
      <c r="P41" s="380">
        <f t="shared" si="17"/>
        <v>366.39650382243099</v>
      </c>
    </row>
    <row r="42" spans="1:16" s="300" customFormat="1">
      <c r="A42" s="415"/>
      <c r="B42" s="386" t="s">
        <v>234</v>
      </c>
      <c r="C42" s="384">
        <f t="shared" ref="C42:I42" si="18">+C40+C41</f>
        <v>8856.3623999999982</v>
      </c>
      <c r="D42" s="384">
        <f t="shared" si="18"/>
        <v>9730.2637000000013</v>
      </c>
      <c r="E42" s="384">
        <f t="shared" si="18"/>
        <v>10807.6325</v>
      </c>
      <c r="F42" s="384">
        <f t="shared" si="18"/>
        <v>11701.57</v>
      </c>
      <c r="G42" s="384">
        <f t="shared" si="18"/>
        <v>19312.78</v>
      </c>
      <c r="H42" s="384">
        <f t="shared" si="18"/>
        <v>16263.130000000001</v>
      </c>
      <c r="I42" s="384">
        <f t="shared" si="18"/>
        <v>16788.62</v>
      </c>
      <c r="J42" s="384">
        <f t="shared" si="17"/>
        <v>8374.3356405310315</v>
      </c>
      <c r="K42" s="384">
        <f t="shared" si="17"/>
        <v>8466.9889488339722</v>
      </c>
      <c r="L42" s="384">
        <f t="shared" si="17"/>
        <v>8866.8552277500658</v>
      </c>
      <c r="M42" s="384">
        <f t="shared" si="17"/>
        <v>8808.9025730589146</v>
      </c>
      <c r="N42" s="384">
        <f t="shared" si="17"/>
        <v>13394.723335783938</v>
      </c>
      <c r="O42" s="384">
        <f t="shared" si="17"/>
        <v>10524.662835546584</v>
      </c>
      <c r="P42" s="384">
        <f t="shared" si="17"/>
        <v>10162.049283029373</v>
      </c>
    </row>
    <row r="43" spans="1:16" s="300" customFormat="1" ht="30">
      <c r="A43" s="416"/>
      <c r="B43" s="404" t="s">
        <v>235</v>
      </c>
      <c r="C43" s="384">
        <f t="shared" ref="C43:P43" si="19">+C38+C42</f>
        <v>182968.02373071766</v>
      </c>
      <c r="D43" s="384">
        <f t="shared" si="19"/>
        <v>224481.93555776516</v>
      </c>
      <c r="E43" s="384">
        <f t="shared" si="19"/>
        <v>254397.02133959092</v>
      </c>
      <c r="F43" s="384">
        <f t="shared" si="19"/>
        <v>285494.43644036201</v>
      </c>
      <c r="G43" s="384">
        <f t="shared" si="19"/>
        <v>267511.15760234464</v>
      </c>
      <c r="H43" s="384">
        <f t="shared" si="19"/>
        <v>157316.19</v>
      </c>
      <c r="I43" s="384">
        <f t="shared" si="19"/>
        <v>199867.22999999998</v>
      </c>
      <c r="J43" s="384">
        <f t="shared" si="19"/>
        <v>173009.59163614135</v>
      </c>
      <c r="K43" s="384">
        <f t="shared" si="19"/>
        <v>195337.57009899509</v>
      </c>
      <c r="L43" s="384">
        <f t="shared" si="19"/>
        <v>208713.75470890565</v>
      </c>
      <c r="M43" s="384">
        <f t="shared" si="19"/>
        <v>214919.25235276204</v>
      </c>
      <c r="N43" s="384">
        <f t="shared" si="19"/>
        <v>185537.13889552414</v>
      </c>
      <c r="O43" s="384">
        <f t="shared" si="19"/>
        <v>101806.96202531646</v>
      </c>
      <c r="P43" s="384">
        <f t="shared" si="19"/>
        <v>120978.41521950983</v>
      </c>
    </row>
    <row r="44" spans="1:16">
      <c r="B44" s="545" t="s">
        <v>258</v>
      </c>
      <c r="C44" s="545"/>
      <c r="D44" s="545"/>
      <c r="E44" s="545"/>
      <c r="F44" s="545"/>
      <c r="G44" s="545"/>
      <c r="H44" s="545"/>
      <c r="I44" s="545"/>
      <c r="J44" s="545"/>
      <c r="K44" s="545"/>
      <c r="L44" s="545"/>
    </row>
    <row r="45" spans="1:16" ht="15.75">
      <c r="C45" s="297" t="s">
        <v>48</v>
      </c>
      <c r="D45" s="297" t="s">
        <v>49</v>
      </c>
      <c r="E45" s="297" t="s">
        <v>5</v>
      </c>
      <c r="F45" s="297" t="s">
        <v>6</v>
      </c>
      <c r="G45" s="298" t="s">
        <v>7</v>
      </c>
      <c r="H45" s="299" t="s">
        <v>122</v>
      </c>
      <c r="I45" s="299" t="s">
        <v>139</v>
      </c>
      <c r="J45" s="417"/>
      <c r="K45" s="417"/>
      <c r="L45" s="417"/>
      <c r="M45" s="417"/>
      <c r="N45" s="417"/>
      <c r="O45" s="417"/>
      <c r="P45" s="417"/>
    </row>
    <row r="46" spans="1:16" ht="18.75" customHeight="1">
      <c r="B46" s="300" t="s">
        <v>216</v>
      </c>
      <c r="C46" s="301">
        <v>1.0575600000000001</v>
      </c>
      <c r="D46" s="301">
        <v>1.1492</v>
      </c>
      <c r="E46" s="301">
        <v>1.21888</v>
      </c>
      <c r="F46" s="301">
        <v>1.3283799999999999</v>
      </c>
      <c r="G46" s="301">
        <v>1.4418200000000001</v>
      </c>
      <c r="H46" s="302">
        <v>1.5452399999999999</v>
      </c>
      <c r="I46" s="302">
        <v>1.6520900000000001</v>
      </c>
    </row>
    <row r="48" spans="1:16">
      <c r="C48" s="296" t="s">
        <v>259</v>
      </c>
      <c r="D48" s="418"/>
    </row>
    <row r="50" spans="3:10">
      <c r="C50" s="296">
        <v>15700.514983529196</v>
      </c>
      <c r="D50" s="296">
        <v>12776.009690113135</v>
      </c>
      <c r="E50" s="296">
        <v>10354.838883673092</v>
      </c>
      <c r="F50" s="296">
        <v>11424.59126457664</v>
      </c>
      <c r="G50" s="296">
        <v>11078.10912224198</v>
      </c>
      <c r="J50" s="296">
        <v>65972.486390493286</v>
      </c>
    </row>
    <row r="51" spans="3:10">
      <c r="C51" s="296">
        <v>869.18718082286432</v>
      </c>
      <c r="D51" s="296">
        <v>803.05242184141832</v>
      </c>
      <c r="E51" s="296">
        <v>1106.8895572140616</v>
      </c>
      <c r="F51" s="296">
        <v>984.89080423971768</v>
      </c>
      <c r="G51" s="296">
        <v>876.12699927861559</v>
      </c>
      <c r="J51" s="296">
        <v>5643.1794064246405</v>
      </c>
    </row>
  </sheetData>
  <mergeCells count="7">
    <mergeCell ref="O2:P2"/>
    <mergeCell ref="A1:P1"/>
    <mergeCell ref="B44:L44"/>
    <mergeCell ref="A3:A4"/>
    <mergeCell ref="B3:B4"/>
    <mergeCell ref="C3:I3"/>
    <mergeCell ref="J3:P3"/>
  </mergeCells>
  <phoneticPr fontId="42" type="noConversion"/>
  <printOptions horizontalCentered="1"/>
  <pageMargins left="0.23622047244094491" right="0.27559055118110237" top="0.78740157480314965" bottom="0.39370078740157483" header="0" footer="0"/>
  <pageSetup paperSize="9" scale="67" orientation="landscape" horizontalDpi="4294967295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P51"/>
  <sheetViews>
    <sheetView view="pageBreakPreview" zoomScaleNormal="100" workbookViewId="0">
      <pane xSplit="2" ySplit="5" topLeftCell="C6" activePane="bottomRight" state="frozen"/>
      <selection activeCell="J4" sqref="J4:P5"/>
      <selection pane="topRight" activeCell="J4" sqref="J4:P5"/>
      <selection pane="bottomLeft" activeCell="J4" sqref="J4:P5"/>
      <selection pane="bottomRight" activeCell="A2" sqref="A2"/>
    </sheetView>
  </sheetViews>
  <sheetFormatPr defaultRowHeight="15"/>
  <cols>
    <col min="1" max="1" width="5.28515625" style="400" customWidth="1"/>
    <col min="2" max="2" width="29.28515625" style="296" customWidth="1"/>
    <col min="3" max="3" width="11.28515625" style="296" customWidth="1"/>
    <col min="4" max="15" width="12.5703125" style="296" customWidth="1"/>
    <col min="16" max="16" width="11.5703125" style="296" customWidth="1"/>
    <col min="17" max="16384" width="9.140625" style="296"/>
  </cols>
  <sheetData>
    <row r="1" spans="1:16" ht="29.25" customHeight="1">
      <c r="A1" s="533" t="s">
        <v>319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</row>
    <row r="2" spans="1:16" ht="29.25" customHeight="1">
      <c r="A2" s="361"/>
      <c r="B2" s="122">
        <v>41834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551" t="s">
        <v>84</v>
      </c>
      <c r="P2" s="551"/>
    </row>
    <row r="3" spans="1:16" s="409" customFormat="1" ht="27" customHeight="1">
      <c r="A3" s="541" t="s">
        <v>71</v>
      </c>
      <c r="B3" s="543" t="s">
        <v>85</v>
      </c>
      <c r="C3" s="552" t="s">
        <v>260</v>
      </c>
      <c r="D3" s="553"/>
      <c r="E3" s="553"/>
      <c r="F3" s="553"/>
      <c r="G3" s="553"/>
      <c r="H3" s="553"/>
      <c r="I3" s="554"/>
      <c r="J3" s="555" t="s">
        <v>261</v>
      </c>
      <c r="K3" s="555"/>
      <c r="L3" s="555"/>
      <c r="M3" s="555"/>
      <c r="N3" s="555"/>
      <c r="O3" s="555"/>
      <c r="P3" s="555"/>
    </row>
    <row r="4" spans="1:16" s="420" customFormat="1" ht="25.5" customHeight="1">
      <c r="A4" s="541"/>
      <c r="B4" s="543"/>
      <c r="C4" s="419" t="s">
        <v>48</v>
      </c>
      <c r="D4" s="419" t="s">
        <v>49</v>
      </c>
      <c r="E4" s="419" t="s">
        <v>5</v>
      </c>
      <c r="F4" s="419" t="s">
        <v>6</v>
      </c>
      <c r="G4" s="419" t="s">
        <v>7</v>
      </c>
      <c r="H4" s="419" t="s">
        <v>122</v>
      </c>
      <c r="I4" s="419" t="s">
        <v>139</v>
      </c>
      <c r="J4" s="419" t="s">
        <v>48</v>
      </c>
      <c r="K4" s="419" t="s">
        <v>49</v>
      </c>
      <c r="L4" s="419" t="s">
        <v>5</v>
      </c>
      <c r="M4" s="419" t="s">
        <v>6</v>
      </c>
      <c r="N4" s="419" t="s">
        <v>7</v>
      </c>
      <c r="O4" s="419" t="s">
        <v>122</v>
      </c>
      <c r="P4" s="419" t="s">
        <v>139</v>
      </c>
    </row>
    <row r="5" spans="1:16" s="409" customFormat="1">
      <c r="A5" s="375"/>
      <c r="B5" s="375"/>
      <c r="C5" s="375" t="s">
        <v>8</v>
      </c>
      <c r="D5" s="375" t="s">
        <v>8</v>
      </c>
      <c r="E5" s="375" t="s">
        <v>8</v>
      </c>
      <c r="F5" s="375" t="s">
        <v>8</v>
      </c>
      <c r="G5" s="375" t="s">
        <v>253</v>
      </c>
      <c r="H5" s="375" t="s">
        <v>224</v>
      </c>
      <c r="I5" s="375" t="s">
        <v>225</v>
      </c>
      <c r="J5" s="375" t="s">
        <v>8</v>
      </c>
      <c r="K5" s="375" t="s">
        <v>8</v>
      </c>
      <c r="L5" s="375" t="s">
        <v>8</v>
      </c>
      <c r="M5" s="375" t="s">
        <v>8</v>
      </c>
      <c r="N5" s="375" t="s">
        <v>253</v>
      </c>
      <c r="O5" s="375" t="s">
        <v>224</v>
      </c>
      <c r="P5" s="375" t="s">
        <v>225</v>
      </c>
    </row>
    <row r="6" spans="1:16" ht="15.75">
      <c r="A6" s="421" t="s">
        <v>226</v>
      </c>
      <c r="B6" s="422" t="s">
        <v>227</v>
      </c>
      <c r="C6" s="423"/>
      <c r="D6" s="423"/>
      <c r="E6" s="423"/>
      <c r="F6" s="423"/>
      <c r="G6" s="423"/>
      <c r="H6" s="423"/>
      <c r="I6" s="423"/>
      <c r="J6" s="401"/>
      <c r="K6" s="401"/>
      <c r="L6" s="401"/>
      <c r="M6" s="401"/>
      <c r="N6" s="401"/>
      <c r="O6" s="418"/>
      <c r="P6" s="418"/>
    </row>
    <row r="7" spans="1:16" ht="15.75">
      <c r="A7" s="424">
        <v>1</v>
      </c>
      <c r="B7" s="425" t="s">
        <v>12</v>
      </c>
      <c r="C7" s="423">
        <f ca="1">+SOR!C7/'Aggregate As% of GSDP'!K6*100</f>
        <v>5.9226611226611228</v>
      </c>
      <c r="D7" s="423">
        <f ca="1">+SOR!D7/'Aggregate As% of GSDP'!L6*100</f>
        <v>5.0123087743977495</v>
      </c>
      <c r="E7" s="423">
        <f ca="1">+SOR!E7/'Aggregate As% of GSDP'!M6*100</f>
        <v>-0.6675140487021658</v>
      </c>
      <c r="F7" s="423">
        <f ca="1">+SOR!F7/'Aggregate As% of GSDP'!N6*100</f>
        <v>-0.65405525352268945</v>
      </c>
      <c r="G7" s="423">
        <f ca="1">+SOR!G7/'Aggregate As% of GSDP'!O6*100</f>
        <v>-8.1533101045296164</v>
      </c>
      <c r="H7" s="423">
        <f ca="1">+SOR!H7/'Aggregate As% of GSDP'!P6*100</f>
        <v>-1.5970556612356297</v>
      </c>
      <c r="I7" s="423">
        <f ca="1">+SOR!I7/'Aggregate As% of GSDP'!Q6*100</f>
        <v>1.1496786728441188</v>
      </c>
      <c r="J7" s="401">
        <f ca="1">+SOR!C7/'Aggregate As% of GSDP'!D6*100</f>
        <v>19.378932689364305</v>
      </c>
      <c r="K7" s="401">
        <f ca="1">+SOR!D7/'Aggregate As% of GSDP'!E6*100</f>
        <v>13.576783485906438</v>
      </c>
      <c r="L7" s="401">
        <f ca="1">+SOR!E7/'Aggregate As% of GSDP'!F6*100</f>
        <v>-2.354334684555011</v>
      </c>
      <c r="M7" s="401">
        <f ca="1">+SOR!F7/'Aggregate As% of GSDP'!G6*100</f>
        <v>-2.8959947336618246</v>
      </c>
      <c r="N7" s="401">
        <f ca="1">+SOR!G7/'Aggregate As% of GSDP'!H6*100</f>
        <v>-44.387025331057075</v>
      </c>
      <c r="O7" s="401">
        <f ca="1">+SOR!H7/'Aggregate As% of GSDP'!I6*100</f>
        <v>-6.7138362046485769</v>
      </c>
      <c r="P7" s="401">
        <f ca="1">+SOR!I7/'Aggregate As% of GSDP'!J6*100</f>
        <v>4.1581081081081077</v>
      </c>
    </row>
    <row r="8" spans="1:16" ht="15.75">
      <c r="A8" s="424">
        <v>2</v>
      </c>
      <c r="B8" s="425" t="s">
        <v>13</v>
      </c>
      <c r="C8" s="423">
        <f ca="1">+SOR!C8/'Aggregate As% of GSDP'!K7*100</f>
        <v>2.3040126062243234</v>
      </c>
      <c r="D8" s="423">
        <f ca="1">+SOR!D8/'Aggregate As% of GSDP'!L7*100</f>
        <v>3.9519821397735404</v>
      </c>
      <c r="E8" s="423">
        <f ca="1">+SOR!E8/'Aggregate As% of GSDP'!M7*100</f>
        <v>2.9688147955196666</v>
      </c>
      <c r="F8" s="423">
        <f ca="1">+SOR!F8/'Aggregate As% of GSDP'!N7*100</f>
        <v>2.9876206872071558</v>
      </c>
      <c r="G8" s="423">
        <f ca="1">+SOR!G8/'Aggregate As% of GSDP'!O7*100</f>
        <v>1.267938324590685</v>
      </c>
      <c r="H8" s="423">
        <f ca="1">+SOR!H8/'Aggregate As% of GSDP'!P7*100</f>
        <v>-0.33615777321160001</v>
      </c>
      <c r="I8" s="423">
        <f ca="1">+SOR!I8/'Aggregate As% of GSDP'!Q7*100</f>
        <v>-0.41625679364532864</v>
      </c>
      <c r="J8" s="401">
        <f ca="1">+SOR!C8/'Aggregate As% of GSDP'!D7*100</f>
        <v>36.474028736438626</v>
      </c>
      <c r="K8" s="401">
        <f ca="1">+SOR!D8/'Aggregate As% of GSDP'!E7*100</f>
        <v>45.361658148457522</v>
      </c>
      <c r="L8" s="401">
        <f ca="1">+SOR!E8/'Aggregate As% of GSDP'!F7*100</f>
        <v>45.532368455956515</v>
      </c>
      <c r="M8" s="401">
        <f ca="1">+SOR!F8/'Aggregate As% of GSDP'!G7*100</f>
        <v>44.037802485284487</v>
      </c>
      <c r="N8" s="401">
        <f ca="1">+SOR!G8/'Aggregate As% of GSDP'!H7*100</f>
        <v>17.792063097294701</v>
      </c>
      <c r="O8" s="401">
        <f ca="1">+SOR!H8/'Aggregate As% of GSDP'!I7*100</f>
        <v>-4.5339999999999998</v>
      </c>
      <c r="P8" s="401">
        <f ca="1">+SOR!I8/'Aggregate As% of GSDP'!J7*100</f>
        <v>-5.4163999999999994</v>
      </c>
    </row>
    <row r="9" spans="1:16" ht="15.75">
      <c r="A9" s="424">
        <v>3</v>
      </c>
      <c r="B9" s="425" t="s">
        <v>14</v>
      </c>
      <c r="C9" s="423">
        <f ca="1">+SOR!C9/'Aggregate As% of GSDP'!K8*100</f>
        <v>3.756764714542296</v>
      </c>
      <c r="D9" s="423">
        <f ca="1">+SOR!D9/'Aggregate As% of GSDP'!L8*100</f>
        <v>0.67319142781380314</v>
      </c>
      <c r="E9" s="423">
        <f ca="1">+SOR!E9/'Aggregate As% of GSDP'!M8*100</f>
        <v>-3.1500964950507984E-2</v>
      </c>
      <c r="F9" s="423">
        <f ca="1">+SOR!F9/'Aggregate As% of GSDP'!N8*100</f>
        <v>0.65061268537213679</v>
      </c>
      <c r="G9" s="423">
        <f ca="1">+SOR!G9/'Aggregate As% of GSDP'!O8*100</f>
        <v>-2.3853472297058054</v>
      </c>
      <c r="H9" s="423">
        <f ca="1">+SOR!H9/'Aggregate As% of GSDP'!P8*100</f>
        <v>-3.5386107719441053</v>
      </c>
      <c r="I9" s="423">
        <f ca="1">+SOR!I9/'Aggregate As% of GSDP'!Q8*100</f>
        <v>-3.0434461463946234</v>
      </c>
      <c r="J9" s="401">
        <f ca="1">+SOR!C9/'Aggregate As% of GSDP'!D8*100</f>
        <v>46.150368216213081</v>
      </c>
      <c r="K9" s="401">
        <f ca="1">+SOR!D9/'Aggregate As% of GSDP'!E8*100</f>
        <v>14.106676500154069</v>
      </c>
      <c r="L9" s="401">
        <f ca="1">+SOR!E9/'Aggregate As% of GSDP'!F8*100</f>
        <v>-0.68138971182333663</v>
      </c>
      <c r="M9" s="401">
        <f ca="1">+SOR!F9/'Aggregate As% of GSDP'!G8*100</f>
        <v>12.30697809180764</v>
      </c>
      <c r="N9" s="401">
        <f ca="1">+SOR!G9/'Aggregate As% of GSDP'!H8*100</f>
        <v>-47.278535859005025</v>
      </c>
      <c r="O9" s="401">
        <f ca="1">+SOR!H9/'Aggregate As% of GSDP'!I8*100</f>
        <v>-64.687821633619791</v>
      </c>
      <c r="P9" s="401">
        <f ca="1">+SOR!I9/'Aggregate As% of GSDP'!J8*100</f>
        <v>-61.303170731707304</v>
      </c>
    </row>
    <row r="10" spans="1:16" ht="15.75">
      <c r="A10" s="424">
        <v>4</v>
      </c>
      <c r="B10" s="425" t="s">
        <v>228</v>
      </c>
      <c r="C10" s="423">
        <f ca="1">+SOR!C10/'Aggregate As% of GSDP'!K9*100</f>
        <v>-0.81708401843715739</v>
      </c>
      <c r="D10" s="423">
        <f ca="1">+SOR!D10/'Aggregate As% of GSDP'!L9*100</f>
        <v>1.9002954035212101</v>
      </c>
      <c r="E10" s="423">
        <f ca="1">+SOR!E10/'Aggregate As% of GSDP'!M9*100</f>
        <v>-2.1898315593675726</v>
      </c>
      <c r="F10" s="423">
        <f ca="1">+SOR!F10/'Aggregate As% of GSDP'!N9*100</f>
        <v>-3.2939059459645619</v>
      </c>
      <c r="G10" s="423">
        <f ca="1">+SOR!G10/'Aggregate As% of GSDP'!O9*100</f>
        <v>-11.295989902522848</v>
      </c>
      <c r="H10" s="423">
        <f ca="1">+SOR!H10/'Aggregate As% of GSDP'!P9*100</f>
        <v>-9.2637547304628569</v>
      </c>
      <c r="I10" s="423">
        <f ca="1">+SOR!I10/'Aggregate As% of GSDP'!Q9*100</f>
        <v>-7.8650465534419771</v>
      </c>
      <c r="J10" s="401">
        <f ca="1">+SOR!C10/'Aggregate As% of GSDP'!D9*100</f>
        <v>-7.2789924239695782</v>
      </c>
      <c r="K10" s="401">
        <f ca="1">+SOR!D10/'Aggregate As% of GSDP'!E9*100</f>
        <v>16.062443194870308</v>
      </c>
      <c r="L10" s="401">
        <f ca="1">+SOR!E10/'Aggregate As% of GSDP'!F9*100</f>
        <v>-15.841582678095389</v>
      </c>
      <c r="M10" s="401">
        <f ca="1">+SOR!F10/'Aggregate As% of GSDP'!G9*100</f>
        <v>-33.163200735083784</v>
      </c>
      <c r="N10" s="401">
        <f ca="1">+SOR!G10/'Aggregate As% of GSDP'!H9*100</f>
        <v>-112.41014760761855</v>
      </c>
      <c r="O10" s="401">
        <f ca="1">+SOR!H10/'Aggregate As% of GSDP'!I9*100</f>
        <v>-102.04096802779785</v>
      </c>
      <c r="P10" s="401">
        <f ca="1">+SOR!I10/'Aggregate As% of GSDP'!J9*100</f>
        <v>-94.077808219178081</v>
      </c>
    </row>
    <row r="11" spans="1:16" ht="15.75">
      <c r="A11" s="424">
        <v>5</v>
      </c>
      <c r="B11" s="425" t="s">
        <v>16</v>
      </c>
      <c r="C11" s="423">
        <f ca="1">+SOR!C11/'Aggregate As% of GSDP'!K10*100</f>
        <v>-1.6787557128114403</v>
      </c>
      <c r="D11" s="423">
        <f ca="1">+SOR!D11/'Aggregate As% of GSDP'!L10*100</f>
        <v>1.5012839572915617</v>
      </c>
      <c r="E11" s="423">
        <f ca="1">+SOR!E11/'Aggregate As% of GSDP'!M10*100</f>
        <v>5.2885873515871342</v>
      </c>
      <c r="F11" s="423">
        <f ca="1">+SOR!F11/'Aggregate As% of GSDP'!N10*100</f>
        <v>8.7583451898872724</v>
      </c>
      <c r="G11" s="423">
        <f ca="1">+SOR!G11/'Aggregate As% of GSDP'!O10*100</f>
        <v>-6.5753046458492008</v>
      </c>
      <c r="H11" s="423">
        <f ca="1">+SOR!H11/'Aggregate As% of GSDP'!P10*100</f>
        <v>-5.8089793874655768</v>
      </c>
      <c r="I11" s="423">
        <f ca="1">+SOR!I11/'Aggregate As% of GSDP'!Q10*100</f>
        <v>-3.5908247912642963</v>
      </c>
      <c r="J11" s="401">
        <f ca="1">+SOR!C11/'Aggregate As% of GSDP'!D10*100</f>
        <v>-8.7334335501288525</v>
      </c>
      <c r="K11" s="401">
        <f ca="1">+SOR!D11/'Aggregate As% of GSDP'!E10*100</f>
        <v>6.9333566359365131</v>
      </c>
      <c r="L11" s="401">
        <f ca="1">+SOR!E11/'Aggregate As% of GSDP'!F10*100</f>
        <v>23.554169409581039</v>
      </c>
      <c r="M11" s="401">
        <f ca="1">+SOR!F11/'Aggregate As% of GSDP'!G10*100</f>
        <v>28.232791315484029</v>
      </c>
      <c r="N11" s="401">
        <f ca="1">+SOR!G11/'Aggregate As% of GSDP'!H10*100</f>
        <v>-42.440870852971358</v>
      </c>
      <c r="O11" s="401">
        <f ca="1">+SOR!H11/'Aggregate As% of GSDP'!I10*100</f>
        <v>-28.745519417235172</v>
      </c>
      <c r="P11" s="401">
        <f ca="1">+SOR!I11/'Aggregate As% of GSDP'!J10*100</f>
        <v>-13.215342465753427</v>
      </c>
    </row>
    <row r="12" spans="1:16" ht="15.75">
      <c r="A12" s="424">
        <v>6</v>
      </c>
      <c r="B12" s="425" t="s">
        <v>17</v>
      </c>
      <c r="C12" s="423">
        <f ca="1">+SOR!C12/'Aggregate As% of GSDP'!K11*100</f>
        <v>2.5387776065742171</v>
      </c>
      <c r="D12" s="423">
        <f ca="1">+SOR!D12/'Aggregate As% of GSDP'!L11*100</f>
        <v>3.525350779030731</v>
      </c>
      <c r="E12" s="423">
        <f ca="1">+SOR!E12/'Aggregate As% of GSDP'!M11*100</f>
        <v>0.20819891415532299</v>
      </c>
      <c r="F12" s="423">
        <f ca="1">+SOR!F12/'Aggregate As% of GSDP'!N11*100</f>
        <v>-1.5200576013166014</v>
      </c>
      <c r="G12" s="423">
        <f ca="1">+SOR!G12/'Aggregate As% of GSDP'!O11*100</f>
        <v>6.2489641725566658</v>
      </c>
      <c r="H12" s="423">
        <f ca="1">+SOR!H12/'Aggregate As% of GSDP'!P11*100</f>
        <v>1.2677695064791838</v>
      </c>
      <c r="I12" s="423">
        <f ca="1">+SOR!I12/'Aggregate As% of GSDP'!Q11*100</f>
        <v>1.1810361399461744</v>
      </c>
      <c r="J12" s="401">
        <f ca="1">+SOR!C12/'Aggregate As% of GSDP'!D11*100</f>
        <v>28.712664242480574</v>
      </c>
      <c r="K12" s="401">
        <f ca="1">+SOR!D12/'Aggregate As% of GSDP'!E11*100</f>
        <v>31.767480103631769</v>
      </c>
      <c r="L12" s="401">
        <f ca="1">+SOR!E12/'Aggregate As% of GSDP'!F11*100</f>
        <v>2.3693117713426104</v>
      </c>
      <c r="M12" s="401">
        <f ca="1">+SOR!F12/'Aggregate As% of GSDP'!G11*100</f>
        <v>-18.553982908272161</v>
      </c>
      <c r="N12" s="401">
        <f ca="1">+SOR!G12/'Aggregate As% of GSDP'!H11*100</f>
        <v>33.131212627321503</v>
      </c>
      <c r="O12" s="401">
        <f ca="1">+SOR!H12/'Aggregate As% of GSDP'!I11*100</f>
        <v>7.4715239751068347</v>
      </c>
      <c r="P12" s="401">
        <f ca="1">+SOR!I12/'Aggregate As% of GSDP'!J11*100</f>
        <v>5.9202601782702962</v>
      </c>
    </row>
    <row r="13" spans="1:16" ht="15.75">
      <c r="A13" s="424">
        <v>7</v>
      </c>
      <c r="B13" s="425" t="s">
        <v>18</v>
      </c>
      <c r="C13" s="423">
        <f ca="1">+SOR!C13/'Aggregate As% of GSDP'!K12*100</f>
        <v>6.3529874213836477</v>
      </c>
      <c r="D13" s="423">
        <f ca="1">+SOR!D13/'Aggregate As% of GSDP'!L12*100</f>
        <v>1.7448110115796327</v>
      </c>
      <c r="E13" s="423">
        <f ca="1">+SOR!E13/'Aggregate As% of GSDP'!M12*100</f>
        <v>-7.0344106463878324</v>
      </c>
      <c r="F13" s="423">
        <f ca="1">+SOR!F13/'Aggregate As% of GSDP'!N12*100</f>
        <v>1.5807764558547277</v>
      </c>
      <c r="G13" s="423">
        <f ca="1">+SOR!G13/'Aggregate As% of GSDP'!O12*100</f>
        <v>-7.0516810225062514</v>
      </c>
      <c r="H13" s="423">
        <f ca="1">+SOR!H13/'Aggregate As% of GSDP'!P12*100</f>
        <v>-3.8738358375760584</v>
      </c>
      <c r="I13" s="423">
        <f ca="1">+SOR!I13/'Aggregate As% of GSDP'!Q12*100</f>
        <v>-3.7032537202167899</v>
      </c>
      <c r="J13" s="401">
        <f ca="1">+SOR!C13/'Aggregate As% of GSDP'!D12*100</f>
        <v>23.262039782377155</v>
      </c>
      <c r="K13" s="401">
        <f ca="1">+SOR!D13/'Aggregate As% of GSDP'!E12*100</f>
        <v>9.3992749870533157</v>
      </c>
      <c r="L13" s="401">
        <f ca="1">+SOR!E13/'Aggregate As% of GSDP'!F12*100</f>
        <v>-39.695532764021799</v>
      </c>
      <c r="M13" s="401">
        <f ca="1">+SOR!F13/'Aggregate As% of GSDP'!G12*100</f>
        <v>7.987281097242656</v>
      </c>
      <c r="N13" s="401">
        <f ca="1">+SOR!G13/'Aggregate As% of GSDP'!H12*100</f>
        <v>-32.744772951596985</v>
      </c>
      <c r="O13" s="401">
        <f ca="1">+SOR!H13/'Aggregate As% of GSDP'!I12*100</f>
        <v>-13.459779438413614</v>
      </c>
      <c r="P13" s="401">
        <f ca="1">+SOR!I13/'Aggregate As% of GSDP'!J12*100</f>
        <v>-13.874000000000001</v>
      </c>
    </row>
    <row r="14" spans="1:16" ht="15.75">
      <c r="A14" s="424">
        <v>8</v>
      </c>
      <c r="B14" s="425" t="s">
        <v>19</v>
      </c>
      <c r="C14" s="423">
        <f ca="1">+SOR!C14/'Aggregate As% of GSDP'!K13*100</f>
        <v>1.3425386996904023</v>
      </c>
      <c r="D14" s="423">
        <f ca="1">+SOR!D14/'Aggregate As% of GSDP'!L13*100</f>
        <v>1.706549385332768</v>
      </c>
      <c r="E14" s="423">
        <f ca="1">+SOR!E14/'Aggregate As% of GSDP'!M13*100</f>
        <v>-1.5750926189797663</v>
      </c>
      <c r="F14" s="423">
        <f ca="1">+SOR!F14/'Aggregate As% of GSDP'!N13*100</f>
        <v>-2.7724296283697591</v>
      </c>
      <c r="G14" s="423">
        <f ca="1">+SOR!G14/'Aggregate As% of GSDP'!O13*100</f>
        <v>-8.5996364462622132</v>
      </c>
      <c r="H14" s="423">
        <f ca="1">+SOR!H14/'Aggregate As% of GSDP'!P13*100</f>
        <v>-6.9223975188781015</v>
      </c>
      <c r="I14" s="423">
        <f ca="1">+SOR!I14/'Aggregate As% of GSDP'!Q13*100</f>
        <v>-7.9846938591511982</v>
      </c>
      <c r="J14" s="401">
        <f ca="1">+SOR!C14/'Aggregate As% of GSDP'!D13*100</f>
        <v>12.84874487401332</v>
      </c>
      <c r="K14" s="401">
        <f ca="1">+SOR!D14/'Aggregate As% of GSDP'!E13*100</f>
        <v>15.527848491861446</v>
      </c>
      <c r="L14" s="401">
        <f ca="1">+SOR!E14/'Aggregate As% of GSDP'!F13*100</f>
        <v>-16.10415594254135</v>
      </c>
      <c r="M14" s="401">
        <f ca="1">+SOR!F14/'Aggregate As% of GSDP'!G13*100</f>
        <v>-21.403810549260083</v>
      </c>
      <c r="N14" s="401">
        <f ca="1">+SOR!G14/'Aggregate As% of GSDP'!H13*100</f>
        <v>-88.302406246597513</v>
      </c>
      <c r="O14" s="401">
        <f ca="1">+SOR!H14/'Aggregate As% of GSDP'!I13*100</f>
        <v>-64.935237420627885</v>
      </c>
      <c r="P14" s="401">
        <f ca="1">+SOR!I14/'Aggregate As% of GSDP'!J13*100</f>
        <v>-66.685000000000002</v>
      </c>
    </row>
    <row r="15" spans="1:16" ht="15.75">
      <c r="A15" s="424">
        <v>9</v>
      </c>
      <c r="B15" s="425" t="s">
        <v>20</v>
      </c>
      <c r="C15" s="423">
        <f ca="1">+SOR!C15/'Aggregate As% of GSDP'!K14*100</f>
        <v>14.215482841181165</v>
      </c>
      <c r="D15" s="423">
        <f ca="1">+SOR!D15/'Aggregate As% of GSDP'!L14*100</f>
        <v>12.477237534840507</v>
      </c>
      <c r="E15" s="423">
        <f ca="1">+SOR!E15/'Aggregate As% of GSDP'!M14*100</f>
        <v>4.7775966085113319</v>
      </c>
      <c r="F15" s="423">
        <f ca="1">+SOR!F15/'Aggregate As% of GSDP'!N14*100</f>
        <v>-0.40097139773340529</v>
      </c>
      <c r="G15" s="423">
        <f ca="1">+SOR!G15/'Aggregate As% of GSDP'!O14*100</f>
        <v>-2.0301764159702875</v>
      </c>
      <c r="H15" s="423">
        <f ca="1">+SOR!H15/'Aggregate As% of GSDP'!P14*100</f>
        <v>-5.6944862910515218E-2</v>
      </c>
      <c r="I15" s="423">
        <f ca="1">+SOR!I15/'Aggregate As% of GSDP'!Q14*100</f>
        <v>-0.32054211298728374</v>
      </c>
      <c r="J15" s="401">
        <f ca="1">+SOR!C15/'Aggregate As% of GSDP'!D14*100</f>
        <v>46.238513057473632</v>
      </c>
      <c r="K15" s="401">
        <f ca="1">+SOR!D15/'Aggregate As% of GSDP'!E14*100</f>
        <v>43.224366745700515</v>
      </c>
      <c r="L15" s="401">
        <f ca="1">+SOR!E15/'Aggregate As% of GSDP'!F14*100</f>
        <v>25.162952466829829</v>
      </c>
      <c r="M15" s="401">
        <f ca="1">+SOR!F15/'Aggregate As% of GSDP'!G14*100</f>
        <v>-4.4117865360350335</v>
      </c>
      <c r="N15" s="401">
        <f ca="1">+SOR!G15/'Aggregate As% of GSDP'!H14*100</f>
        <v>-11.676902536715621</v>
      </c>
      <c r="O15" s="401">
        <f ca="1">+SOR!H15/'Aggregate As% of GSDP'!I14*100</f>
        <v>-0.30609931222129849</v>
      </c>
      <c r="P15" s="401">
        <f ca="1">+SOR!I15/'Aggregate As% of GSDP'!J14*100</f>
        <v>-2.0635922330097087</v>
      </c>
    </row>
    <row r="16" spans="1:16" ht="15.75">
      <c r="A16" s="424">
        <v>10</v>
      </c>
      <c r="B16" s="425" t="s">
        <v>21</v>
      </c>
      <c r="C16" s="423">
        <f ca="1">+SOR!C16/'Aggregate As% of GSDP'!K15*100</f>
        <v>0.9877087395100449</v>
      </c>
      <c r="D16" s="423">
        <f ca="1">+SOR!D16/'Aggregate As% of GSDP'!L15*100</f>
        <v>4.5200766227068447</v>
      </c>
      <c r="E16" s="423">
        <f ca="1">+SOR!E16/'Aggregate As% of GSDP'!M15*100</f>
        <v>2.61851587353113</v>
      </c>
      <c r="F16" s="423">
        <f ca="1">+SOR!F16/'Aggregate As% of GSDP'!N15*100</f>
        <v>1.2102081934184017</v>
      </c>
      <c r="G16" s="423">
        <f ca="1">+SOR!G16/'Aggregate As% of GSDP'!O15*100</f>
        <v>-2.6030883614526736</v>
      </c>
      <c r="H16" s="423">
        <f ca="1">+SOR!H16/'Aggregate As% of GSDP'!P15*100</f>
        <v>-4.0117795011527981</v>
      </c>
      <c r="I16" s="423">
        <f ca="1">+SOR!I16/'Aggregate As% of GSDP'!Q15*100</f>
        <v>-4.7488703626725108</v>
      </c>
      <c r="J16" s="401">
        <f ca="1">+SOR!C16/'Aggregate As% of GSDP'!D15*100</f>
        <v>9.7341731967719838</v>
      </c>
      <c r="K16" s="401">
        <f ca="1">+SOR!D16/'Aggregate As% of GSDP'!E15*100</f>
        <v>33.572100862408618</v>
      </c>
      <c r="L16" s="401">
        <f ca="1">+SOR!E16/'Aggregate As% of GSDP'!F15*100</f>
        <v>24.381441740970228</v>
      </c>
      <c r="M16" s="401">
        <f ca="1">+SOR!F16/'Aggregate As% of GSDP'!G15*100</f>
        <v>11.625806451612904</v>
      </c>
      <c r="N16" s="401">
        <f ca="1">+SOR!G16/'Aggregate As% of GSDP'!H15*100</f>
        <v>-27.707151770948528</v>
      </c>
      <c r="O16" s="401">
        <f ca="1">+SOR!H16/'Aggregate As% of GSDP'!I15*100</f>
        <v>-44.590489325418638</v>
      </c>
      <c r="P16" s="401">
        <f ca="1">+SOR!I16/'Aggregate As% of GSDP'!J15*100</f>
        <v>-52.236400000000003</v>
      </c>
    </row>
    <row r="17" spans="1:16" ht="15.75">
      <c r="A17" s="424">
        <v>11</v>
      </c>
      <c r="B17" s="425" t="s">
        <v>22</v>
      </c>
      <c r="C17" s="423">
        <f ca="1">+SOR!C17/'Aggregate As% of GSDP'!K16*100</f>
        <v>6.0883853600786528</v>
      </c>
      <c r="D17" s="423">
        <f ca="1">+SOR!D17/'Aggregate As% of GSDP'!L16*100</f>
        <v>3.9222167183670691</v>
      </c>
      <c r="E17" s="423">
        <f ca="1">+SOR!E17/'Aggregate As% of GSDP'!M16*100</f>
        <v>3.0425392337056425</v>
      </c>
      <c r="F17" s="423">
        <f ca="1">+SOR!F17/'Aggregate As% of GSDP'!N16*100</f>
        <v>3.5960205552048956</v>
      </c>
      <c r="G17" s="423">
        <f ca="1">+SOR!G17/'Aggregate As% of GSDP'!O16*100</f>
        <v>-0.46621151326564036</v>
      </c>
      <c r="H17" s="423">
        <f ca="1">+SOR!H17/'Aggregate As% of GSDP'!P16*100</f>
        <v>-0.72574983765948853</v>
      </c>
      <c r="I17" s="423">
        <f ca="1">+SOR!I17/'Aggregate As% of GSDP'!Q16*100</f>
        <v>-0.75656732020245321</v>
      </c>
      <c r="J17" s="401">
        <f ca="1">+SOR!C17/'Aggregate As% of GSDP'!D16*100</f>
        <v>57.938535336131757</v>
      </c>
      <c r="K17" s="401">
        <f ca="1">+SOR!D17/'Aggregate As% of GSDP'!E16*100</f>
        <v>53.667768748214129</v>
      </c>
      <c r="L17" s="401">
        <f ca="1">+SOR!E17/'Aggregate As% of GSDP'!F16*100</f>
        <v>45.360130246691369</v>
      </c>
      <c r="M17" s="401">
        <f ca="1">+SOR!F17/'Aggregate As% of GSDP'!G16*100</f>
        <v>47.122577809524948</v>
      </c>
      <c r="N17" s="401">
        <f ca="1">+SOR!G17/'Aggregate As% of GSDP'!H16*100</f>
        <v>-8.1988076294434897</v>
      </c>
      <c r="O17" s="401">
        <f ca="1">+SOR!H17/'Aggregate As% of GSDP'!I16*100</f>
        <v>-13.670564277520473</v>
      </c>
      <c r="P17" s="401">
        <f ca="1">+SOR!I17/'Aggregate As% of GSDP'!J16*100</f>
        <v>-11.835294117647059</v>
      </c>
    </row>
    <row r="18" spans="1:16" s="300" customFormat="1">
      <c r="A18" s="421"/>
      <c r="B18" s="422" t="s">
        <v>229</v>
      </c>
      <c r="C18" s="426">
        <f ca="1">+SOR!C18/'Aggregate As% of GSDP'!K17*100</f>
        <v>2.8210524935535868</v>
      </c>
      <c r="D18" s="426">
        <f ca="1">+SOR!D18/'Aggregate As% of GSDP'!L17*100</f>
        <v>3.0923726702476899</v>
      </c>
      <c r="E18" s="426">
        <f ca="1">+SOR!E18/'Aggregate As% of GSDP'!M17*100</f>
        <v>1.3676761721254937</v>
      </c>
      <c r="F18" s="426">
        <f ca="1">+SOR!F18/'Aggregate As% of GSDP'!N17*100</f>
        <v>1.3720567180474941</v>
      </c>
      <c r="G18" s="426">
        <f ca="1">+SOR!G18/'Aggregate As% of GSDP'!O17*100</f>
        <v>-2.4295011386118439</v>
      </c>
      <c r="H18" s="426">
        <f ca="1">+SOR!H18/'Aggregate As% of GSDP'!P17*100</f>
        <v>-2.7538554377105373</v>
      </c>
      <c r="I18" s="426">
        <f ca="1">+SOR!I18/'Aggregate As% of GSDP'!Q17*100</f>
        <v>-2.4442086804099024</v>
      </c>
      <c r="J18" s="403">
        <f ca="1">+SOR!C18/'Aggregate As% of GSDP'!D17*100</f>
        <v>28.003585965719168</v>
      </c>
      <c r="K18" s="403">
        <f ca="1">+SOR!D18/'Aggregate As% of GSDP'!E17*100</f>
        <v>30.768876689457571</v>
      </c>
      <c r="L18" s="403">
        <f ca="1">+SOR!E18/'Aggregate As% of GSDP'!F17*100</f>
        <v>15.107503187214306</v>
      </c>
      <c r="M18" s="403">
        <f ca="1">+SOR!F18/'Aggregate As% of GSDP'!G17*100</f>
        <v>15.559754599008341</v>
      </c>
      <c r="N18" s="403">
        <f ca="1">+SOR!G18/'Aggregate As% of GSDP'!H17*100</f>
        <v>-28.708008421385994</v>
      </c>
      <c r="O18" s="403">
        <f ca="1">+SOR!H18/'Aggregate As% of GSDP'!I17*100</f>
        <v>-31.735066488208801</v>
      </c>
      <c r="P18" s="403">
        <f ca="1">+SOR!I18/'Aggregate As% of GSDP'!J17*100</f>
        <v>-26.766658484545236</v>
      </c>
    </row>
    <row r="19" spans="1:16" ht="18.75" customHeight="1">
      <c r="A19" s="421" t="s">
        <v>230</v>
      </c>
      <c r="B19" s="422" t="s">
        <v>310</v>
      </c>
      <c r="C19" s="423"/>
      <c r="D19" s="423"/>
      <c r="E19" s="423"/>
      <c r="F19" s="423"/>
      <c r="G19" s="423"/>
      <c r="H19" s="423"/>
      <c r="I19" s="423"/>
      <c r="J19" s="401"/>
      <c r="K19" s="401"/>
      <c r="L19" s="401"/>
      <c r="M19" s="401"/>
      <c r="N19" s="401"/>
      <c r="O19" s="401"/>
      <c r="P19" s="401"/>
    </row>
    <row r="20" spans="1:16" ht="15.75">
      <c r="A20" s="424">
        <v>1</v>
      </c>
      <c r="B20" s="425" t="s">
        <v>25</v>
      </c>
      <c r="C20" s="423">
        <f ca="1">+SOR!C20/'Aggregate As% of GSDP'!K19*100</f>
        <v>6.4103307722038414</v>
      </c>
      <c r="D20" s="423">
        <f ca="1">+SOR!D20/'Aggregate As% of GSDP'!L19*100</f>
        <v>6.230700736939534</v>
      </c>
      <c r="E20" s="423">
        <f ca="1">+SOR!E20/'Aggregate As% of GSDP'!M19*100</f>
        <v>5.2745436052303205</v>
      </c>
      <c r="F20" s="423">
        <f ca="1">+SOR!F20/'Aggregate As% of GSDP'!N19*100</f>
        <v>4.8434670293715589</v>
      </c>
      <c r="G20" s="423">
        <f ca="1">+SOR!G20/'Aggregate As% of GSDP'!O19*100</f>
        <v>5.1836107287742692</v>
      </c>
      <c r="H20" s="423">
        <f ca="1">+SOR!H20/'Aggregate As% of GSDP'!P19*100</f>
        <v>2.3366502785624248</v>
      </c>
      <c r="I20" s="423">
        <f ca="1">+SOR!I20/'Aggregate As% of GSDP'!Q19*100</f>
        <v>2.679080297283301</v>
      </c>
      <c r="J20" s="401">
        <f ca="1">+SOR!C20/'Aggregate As% of GSDP'!D19*100</f>
        <v>86.046064962502953</v>
      </c>
      <c r="K20" s="401">
        <f ca="1">+SOR!D20/'Aggregate As% of GSDP'!E19*100</f>
        <v>86.812097594865676</v>
      </c>
      <c r="L20" s="401">
        <f ca="1">+SOR!E20/'Aggregate As% of GSDP'!F19*100</f>
        <v>85.531903316584618</v>
      </c>
      <c r="M20" s="401">
        <f ca="1">+SOR!F20/'Aggregate As% of GSDP'!G19*100</f>
        <v>89.495776109259964</v>
      </c>
      <c r="N20" s="401">
        <f ca="1">+SOR!G20/'Aggregate As% of GSDP'!H19*100</f>
        <v>79.874860465116285</v>
      </c>
      <c r="O20" s="401">
        <f ca="1">+SOR!H20/'Aggregate As% of GSDP'!I19*100</f>
        <v>39.960610420602102</v>
      </c>
      <c r="P20" s="401">
        <f ca="1">+SOR!I20/'Aggregate As% of GSDP'!J19*100</f>
        <v>43.338622641509438</v>
      </c>
    </row>
    <row r="21" spans="1:16" ht="15.75">
      <c r="A21" s="424">
        <v>2</v>
      </c>
      <c r="B21" s="425" t="s">
        <v>26</v>
      </c>
      <c r="C21" s="423">
        <f ca="1">+SOR!C21/'Aggregate As% of GSDP'!K20*100</f>
        <v>6.6647167487684733</v>
      </c>
      <c r="D21" s="423">
        <f ca="1">+SOR!D21/'Aggregate As% of GSDP'!L20*100</f>
        <v>7.093639960921851</v>
      </c>
      <c r="E21" s="423">
        <f ca="1">+SOR!E21/'Aggregate As% of GSDP'!M20*100</f>
        <v>7.7738945766124088</v>
      </c>
      <c r="F21" s="423">
        <f ca="1">+SOR!F21/'Aggregate As% of GSDP'!N20*100</f>
        <v>6.8601784726539368</v>
      </c>
      <c r="G21" s="423">
        <f ca="1">+SOR!G21/'Aggregate As% of GSDP'!O20*100</f>
        <v>6.0863286606716871</v>
      </c>
      <c r="H21" s="423">
        <f ca="1">+SOR!H21/'Aggregate As% of GSDP'!P20*100</f>
        <v>3.4983168521791752</v>
      </c>
      <c r="I21" s="423">
        <f ca="1">+SOR!I21/'Aggregate As% of GSDP'!Q20*100</f>
        <v>4.3638570113781672</v>
      </c>
      <c r="J21" s="401">
        <f ca="1">+SOR!C21/'Aggregate As% of GSDP'!D20*100</f>
        <v>72.597923761376279</v>
      </c>
      <c r="K21" s="401">
        <f ca="1">+SOR!D21/'Aggregate As% of GSDP'!E20*100</f>
        <v>73.708249195748138</v>
      </c>
      <c r="L21" s="401">
        <f ca="1">+SOR!E21/'Aggregate As% of GSDP'!F20*100</f>
        <v>77.292480216958964</v>
      </c>
      <c r="M21" s="401">
        <f ca="1">+SOR!F21/'Aggregate As% of GSDP'!G20*100</f>
        <v>72.56907208807759</v>
      </c>
      <c r="N21" s="401">
        <f ca="1">+SOR!G21/'Aggregate As% of GSDP'!H20*100</f>
        <v>62.719109654166679</v>
      </c>
      <c r="O21" s="401">
        <f ca="1">+SOR!H21/'Aggregate As% of GSDP'!I20*100</f>
        <v>43.583322025398033</v>
      </c>
      <c r="P21" s="401">
        <f ca="1">+SOR!I21/'Aggregate As% of GSDP'!J20*100</f>
        <v>47.275588235294123</v>
      </c>
    </row>
    <row r="22" spans="1:16" ht="15.75">
      <c r="A22" s="424">
        <v>3</v>
      </c>
      <c r="B22" s="425" t="s">
        <v>27</v>
      </c>
      <c r="C22" s="423">
        <f ca="1">+SOR!C22/'Aggregate As% of GSDP'!K21*100</f>
        <v>6.7551056008971404</v>
      </c>
      <c r="D22" s="423">
        <f ca="1">+SOR!D22/'Aggregate As% of GSDP'!L21*100</f>
        <v>5.9605762488140908</v>
      </c>
      <c r="E22" s="423">
        <f ca="1">+SOR!E22/'Aggregate As% of GSDP'!M21*100</f>
        <v>8.1506682500704475</v>
      </c>
      <c r="F22" s="423">
        <f ca="1">+SOR!F22/'Aggregate As% of GSDP'!N21*100</f>
        <v>7.7258499413833519</v>
      </c>
      <c r="G22" s="423">
        <f ca="1">+SOR!G22/'Aggregate As% of GSDP'!O21*100</f>
        <v>10.525581010295621</v>
      </c>
      <c r="H22" s="423">
        <f ca="1">+SOR!H22/'Aggregate As% of GSDP'!P21*100</f>
        <v>7.6850625890991466</v>
      </c>
      <c r="I22" s="423">
        <f ca="1">+SOR!I22/'Aggregate As% of GSDP'!Q21*100</f>
        <v>8.8259500684810845</v>
      </c>
      <c r="J22" s="401">
        <f ca="1">+SOR!C22/'Aggregate As% of GSDP'!D21*100</f>
        <v>89.635098045699493</v>
      </c>
      <c r="K22" s="401">
        <f ca="1">+SOR!D22/'Aggregate As% of GSDP'!E21*100</f>
        <v>88.196232034875123</v>
      </c>
      <c r="L22" s="401">
        <f ca="1">+SOR!E22/'Aggregate As% of GSDP'!F21*100</f>
        <v>85.297800789276621</v>
      </c>
      <c r="M22" s="401">
        <f ca="1">+SOR!F22/'Aggregate As% of GSDP'!G21*100</f>
        <v>81.401725931409175</v>
      </c>
      <c r="N22" s="401">
        <f ca="1">+SOR!G22/'Aggregate As% of GSDP'!H21*100</f>
        <v>82.279266675530621</v>
      </c>
      <c r="O22" s="401">
        <f ca="1">+SOR!H22/'Aggregate As% of GSDP'!I21*100</f>
        <v>59.359477735425571</v>
      </c>
      <c r="P22" s="401">
        <f ca="1">+SOR!I22/'Aggregate As% of GSDP'!J21*100</f>
        <v>61.505861386138619</v>
      </c>
    </row>
    <row r="23" spans="1:16" ht="15.75">
      <c r="A23" s="424">
        <v>4</v>
      </c>
      <c r="B23" s="425" t="s">
        <v>28</v>
      </c>
      <c r="C23" s="423">
        <f ca="1">+SOR!C23/'Aggregate As% of GSDP'!K22*100</f>
        <v>6.0433427038078209</v>
      </c>
      <c r="D23" s="423">
        <f ca="1">+SOR!D23/'Aggregate As% of GSDP'!L22*100</f>
        <v>5.5916414968127794</v>
      </c>
      <c r="E23" s="423">
        <f ca="1">+SOR!E23/'Aggregate As% of GSDP'!M22*100</f>
        <v>7.3512669092906684</v>
      </c>
      <c r="F23" s="423">
        <f ca="1">+SOR!F23/'Aggregate As% of GSDP'!N22*100</f>
        <v>5.9569706888855825</v>
      </c>
      <c r="G23" s="423">
        <f ca="1">+SOR!G23/'Aggregate As% of GSDP'!O22*100</f>
        <v>4.0117696044413602</v>
      </c>
      <c r="H23" s="423">
        <f ca="1">+SOR!H23/'Aggregate As% of GSDP'!P22*100</f>
        <v>5.659059059059059</v>
      </c>
      <c r="I23" s="423">
        <f ca="1">+SOR!I23/'Aggregate As% of GSDP'!Q22*100</f>
        <v>6.9948189421605242</v>
      </c>
      <c r="J23" s="401">
        <f ca="1">+SOR!C23/'Aggregate As% of GSDP'!D22*100</f>
        <v>93.462864008600462</v>
      </c>
      <c r="K23" s="401">
        <f ca="1">+SOR!D23/'Aggregate As% of GSDP'!E22*100</f>
        <v>87.512314715632328</v>
      </c>
      <c r="L23" s="401">
        <f ca="1">+SOR!E23/'Aggregate As% of GSDP'!F22*100</f>
        <v>96.044516016166455</v>
      </c>
      <c r="M23" s="401">
        <f ca="1">+SOR!F23/'Aggregate As% of GSDP'!G22*100</f>
        <v>81.945229031069644</v>
      </c>
      <c r="N23" s="401">
        <f ca="1">+SOR!G23/'Aggregate As% of GSDP'!H22*100</f>
        <v>60.616635140066187</v>
      </c>
      <c r="O23" s="401">
        <f ca="1">+SOR!H23/'Aggregate As% of GSDP'!I22*100</f>
        <v>62.666151492790213</v>
      </c>
      <c r="P23" s="401">
        <f ca="1">+SOR!I23/'Aggregate As% of GSDP'!J22*100</f>
        <v>58.306044538706267</v>
      </c>
    </row>
    <row r="24" spans="1:16" ht="15.75">
      <c r="A24" s="424">
        <v>5</v>
      </c>
      <c r="B24" s="425" t="s">
        <v>29</v>
      </c>
      <c r="C24" s="423">
        <f ca="1">+SOR!C24/'Aggregate As% of GSDP'!K23*100</f>
        <v>4.1085958971711429</v>
      </c>
      <c r="D24" s="423">
        <f ca="1">+SOR!D24/'Aggregate As% of GSDP'!L23*100</f>
        <v>5.427493531061776</v>
      </c>
      <c r="E24" s="423">
        <f ca="1">+SOR!E24/'Aggregate As% of GSDP'!M23*100</f>
        <v>4.8365309255162758</v>
      </c>
      <c r="F24" s="423">
        <f ca="1">+SOR!F24/'Aggregate As% of GSDP'!N23*100</f>
        <v>4.8939731821851167</v>
      </c>
      <c r="G24" s="423">
        <f ca="1">+SOR!G24/'Aggregate As% of GSDP'!O23*100</f>
        <v>2.3936000053821038</v>
      </c>
      <c r="H24" s="423">
        <f ca="1">+SOR!H24/'Aggregate As% of GSDP'!P23*100</f>
        <v>3.1832060726908016</v>
      </c>
      <c r="I24" s="423">
        <f ca="1">+SOR!I24/'Aggregate As% of GSDP'!Q23*100</f>
        <v>3.2527667530783129</v>
      </c>
      <c r="J24" s="401">
        <f ca="1">+SOR!C24/'Aggregate As% of GSDP'!D23*100</f>
        <v>85.815965879105221</v>
      </c>
      <c r="K24" s="401">
        <f ca="1">+SOR!D24/'Aggregate As% of GSDP'!E23*100</f>
        <v>91.010272177612322</v>
      </c>
      <c r="L24" s="401">
        <f ca="1">+SOR!E24/'Aggregate As% of GSDP'!F23*100</f>
        <v>92.365436979705677</v>
      </c>
      <c r="M24" s="401">
        <f ca="1">+SOR!F24/'Aggregate As% of GSDP'!G23*100</f>
        <v>92.631204554074188</v>
      </c>
      <c r="N24" s="401">
        <f ca="1">+SOR!G24/'Aggregate As% of GSDP'!H23*100</f>
        <v>45.803415045795489</v>
      </c>
      <c r="O24" s="401">
        <f ca="1">+SOR!H24/'Aggregate As% of GSDP'!I23*100</f>
        <v>41.543891566652292</v>
      </c>
      <c r="P24" s="401">
        <f ca="1">+SOR!I24/'Aggregate As% of GSDP'!J23*100</f>
        <v>42.833627118644074</v>
      </c>
    </row>
    <row r="25" spans="1:16" ht="15.75">
      <c r="A25" s="424">
        <v>6</v>
      </c>
      <c r="B25" s="425" t="s">
        <v>30</v>
      </c>
      <c r="C25" s="423">
        <f ca="1">+SOR!C25/'Aggregate As% of GSDP'!K24*100</f>
        <v>6.8064988522124583</v>
      </c>
      <c r="D25" s="423">
        <f ca="1">+SOR!D25/'Aggregate As% of GSDP'!L24*100</f>
        <v>7.291559373664545</v>
      </c>
      <c r="E25" s="423">
        <f ca="1">+SOR!E25/'Aggregate As% of GSDP'!M24*100</f>
        <v>8.0768559928443651</v>
      </c>
      <c r="F25" s="423">
        <f ca="1">+SOR!F25/'Aggregate As% of GSDP'!N24*100</f>
        <v>5.7722209645423819</v>
      </c>
      <c r="G25" s="423">
        <f ca="1">+SOR!G25/'Aggregate As% of GSDP'!O24*100</f>
        <v>6.3208515063303299</v>
      </c>
      <c r="H25" s="423">
        <f ca="1">+SOR!H25/'Aggregate As% of GSDP'!P24*100</f>
        <v>1.4621970930198878</v>
      </c>
      <c r="I25" s="423">
        <f ca="1">+SOR!I25/'Aggregate As% of GSDP'!Q24*100</f>
        <v>1.2668582365727143</v>
      </c>
      <c r="J25" s="401">
        <f ca="1">+SOR!C25/'Aggregate As% of GSDP'!D24*100</f>
        <v>96.347015761559703</v>
      </c>
      <c r="K25" s="401">
        <f ca="1">+SOR!D25/'Aggregate As% of GSDP'!E24*100</f>
        <v>96.098565890269413</v>
      </c>
      <c r="L25" s="401">
        <f ca="1">+SOR!E25/'Aggregate As% of GSDP'!F24*100</f>
        <v>95.44199895044639</v>
      </c>
      <c r="M25" s="401">
        <f ca="1">+SOR!F25/'Aggregate As% of GSDP'!G24*100</f>
        <v>95.685702309706642</v>
      </c>
      <c r="N25" s="401">
        <f ca="1">+SOR!G25/'Aggregate As% of GSDP'!H24*100</f>
        <v>93.753063885011116</v>
      </c>
      <c r="O25" s="401">
        <f ca="1">+SOR!H25/'Aggregate As% of GSDP'!I24*100</f>
        <v>21.471302677543402</v>
      </c>
      <c r="P25" s="401">
        <f ca="1">+SOR!I25/'Aggregate As% of GSDP'!J24*100</f>
        <v>18.385822990543733</v>
      </c>
    </row>
    <row r="26" spans="1:16" ht="15.75">
      <c r="A26" s="424">
        <v>7</v>
      </c>
      <c r="B26" s="425" t="s">
        <v>31</v>
      </c>
      <c r="C26" s="423">
        <f ca="1">+SOR!C26/'Aggregate As% of GSDP'!K25*100</f>
        <v>5.116295413936867</v>
      </c>
      <c r="D26" s="423">
        <f ca="1">+SOR!D26/'Aggregate As% of GSDP'!L25*100</f>
        <v>5.8587944506458305</v>
      </c>
      <c r="E26" s="423">
        <f ca="1">+SOR!E26/'Aggregate As% of GSDP'!M25*100</f>
        <v>5.0439669651464403</v>
      </c>
      <c r="F26" s="423">
        <f ca="1">+SOR!F26/'Aggregate As% of GSDP'!N25*100</f>
        <v>4.4779472977113635</v>
      </c>
      <c r="G26" s="423">
        <f ca="1">+SOR!G26/'Aggregate As% of GSDP'!O25*100</f>
        <v>3.8847321931184022</v>
      </c>
      <c r="H26" s="423">
        <f ca="1">+SOR!H26/'Aggregate As% of GSDP'!P25*100</f>
        <v>4.9390269050680518</v>
      </c>
      <c r="I26" s="423">
        <f ca="1">+SOR!I26/'Aggregate As% of GSDP'!Q25*100</f>
        <v>4.5264100883683565</v>
      </c>
      <c r="J26" s="401">
        <f ca="1">+SOR!C26/'Aggregate As% of GSDP'!D25*100</f>
        <v>77.749900892241342</v>
      </c>
      <c r="K26" s="401">
        <f ca="1">+SOR!D26/'Aggregate As% of GSDP'!E25*100</f>
        <v>77.145059714766944</v>
      </c>
      <c r="L26" s="401">
        <f ca="1">+SOR!E26/'Aggregate As% of GSDP'!F25*100</f>
        <v>75.227485292570037</v>
      </c>
      <c r="M26" s="401">
        <f ca="1">+SOR!F26/'Aggregate As% of GSDP'!G25*100</f>
        <v>66.853856137466252</v>
      </c>
      <c r="N26" s="401">
        <f ca="1">+SOR!G26/'Aggregate As% of GSDP'!H25*100</f>
        <v>54.804881061864293</v>
      </c>
      <c r="O26" s="401">
        <f ca="1">+SOR!H26/'Aggregate As% of GSDP'!I25*100</f>
        <v>49.958711656441714</v>
      </c>
      <c r="P26" s="401">
        <f ca="1">+SOR!I26/'Aggregate As% of GSDP'!J25*100</f>
        <v>50.978154761904761</v>
      </c>
    </row>
    <row r="27" spans="1:16" ht="15.75">
      <c r="A27" s="424">
        <v>8</v>
      </c>
      <c r="B27" s="425" t="s">
        <v>32</v>
      </c>
      <c r="C27" s="423">
        <f ca="1">+SOR!C27/'Aggregate As% of GSDP'!K26*100</f>
        <v>5.602813830003436</v>
      </c>
      <c r="D27" s="423">
        <f ca="1">+SOR!D27/'Aggregate As% of GSDP'!L26*100</f>
        <v>6.768996203820671</v>
      </c>
      <c r="E27" s="423">
        <f ca="1">+SOR!E27/'Aggregate As% of GSDP'!M26*100</f>
        <v>7.1049637069641003</v>
      </c>
      <c r="F27" s="423">
        <f ca="1">+SOR!F27/'Aggregate As% of GSDP'!N26*100</f>
        <v>6.5283447747793462</v>
      </c>
      <c r="G27" s="423">
        <f ca="1">+SOR!G27/'Aggregate As% of GSDP'!O26*100</f>
        <v>5.0761069005042563</v>
      </c>
      <c r="H27" s="423">
        <f ca="1">+SOR!H27/'Aggregate As% of GSDP'!P26*100</f>
        <v>3.9344959599772737</v>
      </c>
      <c r="I27" s="423">
        <f ca="1">+SOR!I27/'Aggregate As% of GSDP'!Q26*100</f>
        <v>3.1657379199779054</v>
      </c>
      <c r="J27" s="401">
        <f ca="1">+SOR!C27/'Aggregate As% of GSDP'!D26*100</f>
        <v>88.780134304579448</v>
      </c>
      <c r="K27" s="401">
        <f ca="1">+SOR!D27/'Aggregate As% of GSDP'!E26*100</f>
        <v>91.225454259603964</v>
      </c>
      <c r="L27" s="401">
        <f ca="1">+SOR!E27/'Aggregate As% of GSDP'!F26*100</f>
        <v>88.971818252177286</v>
      </c>
      <c r="M27" s="401">
        <f ca="1">+SOR!F27/'Aggregate As% of GSDP'!G26*100</f>
        <v>86.061941673514724</v>
      </c>
      <c r="N27" s="401">
        <f ca="1">+SOR!G27/'Aggregate As% of GSDP'!H26*100</f>
        <v>60.582444733420026</v>
      </c>
      <c r="O27" s="401">
        <f ca="1">+SOR!H27/'Aggregate As% of GSDP'!I26*100</f>
        <v>49.017850123004777</v>
      </c>
      <c r="P27" s="401">
        <f ca="1">+SOR!I27/'Aggregate As% of GSDP'!J26*100</f>
        <v>39.996808510638296</v>
      </c>
    </row>
    <row r="28" spans="1:16" ht="15.75">
      <c r="A28" s="424">
        <v>9</v>
      </c>
      <c r="B28" s="425" t="s">
        <v>33</v>
      </c>
      <c r="C28" s="423">
        <f ca="1">+SOR!C28/'Aggregate As% of GSDP'!K27*100</f>
        <v>2.8308677008810079</v>
      </c>
      <c r="D28" s="423">
        <f ca="1">+SOR!D28/'Aggregate As% of GSDP'!L27*100</f>
        <v>2.6636417605519194</v>
      </c>
      <c r="E28" s="423">
        <f ca="1">+SOR!E28/'Aggregate As% of GSDP'!M27*100</f>
        <v>3.3516523778119733</v>
      </c>
      <c r="F28" s="423">
        <f ca="1">+SOR!F28/'Aggregate As% of GSDP'!N27*100</f>
        <v>3.2194955510988619</v>
      </c>
      <c r="G28" s="423">
        <f ca="1">+SOR!G28/'Aggregate As% of GSDP'!O27*100</f>
        <v>2.7576115065457278</v>
      </c>
      <c r="H28" s="423">
        <f ca="1">+SOR!H28/'Aggregate As% of GSDP'!P27*100</f>
        <v>-1.2394786710864552</v>
      </c>
      <c r="I28" s="423">
        <f ca="1">+SOR!I28/'Aggregate As% of GSDP'!Q27*100</f>
        <v>-0.56575068816333185</v>
      </c>
      <c r="J28" s="401">
        <f ca="1">+SOR!C28/'Aggregate As% of GSDP'!D27*100</f>
        <v>85.256413563274151</v>
      </c>
      <c r="K28" s="401">
        <f ca="1">+SOR!D28/'Aggregate As% of GSDP'!E27*100</f>
        <v>80.744848842703064</v>
      </c>
      <c r="L28" s="401">
        <f ca="1">+SOR!E28/'Aggregate As% of GSDP'!F27*100</f>
        <v>91.042567241629584</v>
      </c>
      <c r="M28" s="401">
        <f ca="1">+SOR!F28/'Aggregate As% of GSDP'!G27*100</f>
        <v>91.884119126835998</v>
      </c>
      <c r="N28" s="401">
        <f ca="1">+SOR!G28/'Aggregate As% of GSDP'!H27*100</f>
        <v>70.69812002941454</v>
      </c>
      <c r="O28" s="401">
        <f ca="1">+SOR!H28/'Aggregate As% of GSDP'!I27*100</f>
        <v>-30.895144862130358</v>
      </c>
      <c r="P28" s="401">
        <f ca="1">+SOR!I28/'Aggregate As% of GSDP'!J27*100</f>
        <v>-13.347470588235291</v>
      </c>
    </row>
    <row r="29" spans="1:16" ht="15.75">
      <c r="A29" s="424">
        <v>10</v>
      </c>
      <c r="B29" s="425" t="s">
        <v>34</v>
      </c>
      <c r="C29" s="423">
        <f ca="1">+SOR!C29/'Aggregate As% of GSDP'!K28*100</f>
        <v>5.0618037020293656</v>
      </c>
      <c r="D29" s="423">
        <f ca="1">+SOR!D29/'Aggregate As% of GSDP'!L28*100</f>
        <v>4.625519576633752</v>
      </c>
      <c r="E29" s="423">
        <f ca="1">+SOR!E29/'Aggregate As% of GSDP'!M28*100</f>
        <v>5.0353977245261623</v>
      </c>
      <c r="F29" s="423">
        <f ca="1">+SOR!F29/'Aggregate As% of GSDP'!N28*100</f>
        <v>5.4941267141490373</v>
      </c>
      <c r="G29" s="423">
        <f ca="1">+SOR!G29/'Aggregate As% of GSDP'!O28*100</f>
        <v>7.4148137453075371</v>
      </c>
      <c r="H29" s="423">
        <f ca="1">+SOR!H29/'Aggregate As% of GSDP'!P28*100</f>
        <v>3.8969398475431993</v>
      </c>
      <c r="I29" s="423">
        <f ca="1">+SOR!I29/'Aggregate As% of GSDP'!Q28*100</f>
        <v>3.1696052339764913</v>
      </c>
      <c r="J29" s="401">
        <f ca="1">+SOR!C29/'Aggregate As% of GSDP'!D28*100</f>
        <v>75.783002170460406</v>
      </c>
      <c r="K29" s="401">
        <f ca="1">+SOR!D29/'Aggregate As% of GSDP'!E28*100</f>
        <v>76.367708275796275</v>
      </c>
      <c r="L29" s="401">
        <f ca="1">+SOR!E29/'Aggregate As% of GSDP'!F28*100</f>
        <v>78.693262201905938</v>
      </c>
      <c r="M29" s="401">
        <f ca="1">+SOR!F29/'Aggregate As% of GSDP'!G28*100</f>
        <v>76.195989726319496</v>
      </c>
      <c r="N29" s="401">
        <f ca="1">+SOR!G29/'Aggregate As% of GSDP'!H28*100</f>
        <v>83.126593711590417</v>
      </c>
      <c r="O29" s="401">
        <f ca="1">+SOR!H29/'Aggregate As% of GSDP'!I28*100</f>
        <v>50.823220047713967</v>
      </c>
      <c r="P29" s="401">
        <f ca="1">+SOR!I29/'Aggregate As% of GSDP'!J28*100</f>
        <v>40.258450704225353</v>
      </c>
    </row>
    <row r="30" spans="1:16" ht="15.75">
      <c r="A30" s="424">
        <v>11</v>
      </c>
      <c r="B30" s="425" t="s">
        <v>35</v>
      </c>
      <c r="C30" s="423">
        <f ca="1">+SOR!C30/'Aggregate As% of GSDP'!K29*100</f>
        <v>2.1730068032773717</v>
      </c>
      <c r="D30" s="423">
        <f ca="1">+SOR!D30/'Aggregate As% of GSDP'!L29*100</f>
        <v>2.2029300939428542</v>
      </c>
      <c r="E30" s="423">
        <f ca="1">+SOR!E30/'Aggregate As% of GSDP'!M29*100</f>
        <v>2.8666936994522936</v>
      </c>
      <c r="F30" s="423">
        <f ca="1">+SOR!F30/'Aggregate As% of GSDP'!N29*100</f>
        <v>2.4794664404696807</v>
      </c>
      <c r="G30" s="423">
        <f ca="1">+SOR!G30/'Aggregate As% of GSDP'!O29*100</f>
        <v>2.8762984057328262</v>
      </c>
      <c r="H30" s="423">
        <f ca="1">+SOR!H30/'Aggregate As% of GSDP'!P29*100</f>
        <v>0.88837819565743203</v>
      </c>
      <c r="I30" s="423">
        <f ca="1">+SOR!I30/'Aggregate As% of GSDP'!Q29*100</f>
        <v>1.0450374827353082</v>
      </c>
      <c r="J30" s="401">
        <f ca="1">+SOR!C30/'Aggregate As% of GSDP'!D29*100</f>
        <v>79.745434006509981</v>
      </c>
      <c r="K30" s="401">
        <f ca="1">+SOR!D30/'Aggregate As% of GSDP'!E29*100</f>
        <v>71.308372655938427</v>
      </c>
      <c r="L30" s="401">
        <f ca="1">+SOR!E30/'Aggregate As% of GSDP'!F29*100</f>
        <v>81.969670390622824</v>
      </c>
      <c r="M30" s="401">
        <f ca="1">+SOR!F30/'Aggregate As% of GSDP'!G29*100</f>
        <v>77.637280013019904</v>
      </c>
      <c r="N30" s="401">
        <f ca="1">+SOR!G30/'Aggregate As% of GSDP'!H29*100</f>
        <v>93.113867315374407</v>
      </c>
      <c r="O30" s="401">
        <f ca="1">+SOR!H30/'Aggregate As% of GSDP'!I29*100</f>
        <v>30.214986489784646</v>
      </c>
      <c r="P30" s="401">
        <f ca="1">+SOR!I30/'Aggregate As% of GSDP'!J29*100</f>
        <v>20.591155279503106</v>
      </c>
    </row>
    <row r="31" spans="1:16" ht="15.75">
      <c r="A31" s="424">
        <v>12</v>
      </c>
      <c r="B31" s="425" t="s">
        <v>74</v>
      </c>
      <c r="C31" s="423">
        <f ca="1">+SOR!C31/'Aggregate As% of GSDP'!K30*100</f>
        <v>2.9300942184816745</v>
      </c>
      <c r="D31" s="423">
        <f ca="1">+SOR!D31/'Aggregate As% of GSDP'!L30*100</f>
        <v>3.4000579159679711</v>
      </c>
      <c r="E31" s="423">
        <f ca="1">+SOR!E31/'Aggregate As% of GSDP'!M30*100</f>
        <v>4.0673636664907393</v>
      </c>
      <c r="F31" s="423">
        <f ca="1">+SOR!F31/'Aggregate As% of GSDP'!N30*100</f>
        <v>4.0305118209892168</v>
      </c>
      <c r="G31" s="423">
        <f ca="1">+SOR!G31/'Aggregate As% of GSDP'!O30*100</f>
        <v>4.4948201861284449</v>
      </c>
      <c r="H31" s="423">
        <f ca="1">+SOR!H31/'Aggregate As% of GSDP'!P30*100</f>
        <v>3.2826011219021449</v>
      </c>
      <c r="I31" s="423">
        <f ca="1">+SOR!I31/'Aggregate As% of GSDP'!Q30*100</f>
        <v>3.360977622445513</v>
      </c>
      <c r="J31" s="401">
        <f ca="1">+SOR!C31/'Aggregate As% of GSDP'!D30*100</f>
        <v>63.655032526186474</v>
      </c>
      <c r="K31" s="401">
        <f ca="1">+SOR!D31/'Aggregate As% of GSDP'!E30*100</f>
        <v>64.731766232367548</v>
      </c>
      <c r="L31" s="401">
        <f ca="1">+SOR!E31/'Aggregate As% of GSDP'!F30*100</f>
        <v>70.473838170633798</v>
      </c>
      <c r="M31" s="401">
        <f ca="1">+SOR!F31/'Aggregate As% of GSDP'!G30*100</f>
        <v>70.844819761699256</v>
      </c>
      <c r="N31" s="401">
        <f ca="1">+SOR!G31/'Aggregate As% of GSDP'!H30*100</f>
        <v>83.725000000000009</v>
      </c>
      <c r="O31" s="401">
        <f ca="1">+SOR!H31/'Aggregate As% of GSDP'!I30*100</f>
        <v>47.286164270320086</v>
      </c>
      <c r="P31" s="401">
        <f ca="1">+SOR!I31/'Aggregate As% of GSDP'!J30*100</f>
        <v>45.086186046511628</v>
      </c>
    </row>
    <row r="32" spans="1:16" ht="15.75">
      <c r="A32" s="424">
        <v>13</v>
      </c>
      <c r="B32" s="425" t="s">
        <v>36</v>
      </c>
      <c r="C32" s="423">
        <f ca="1">+SOR!C32/'Aggregate As% of GSDP'!K31*100</f>
        <v>2.9438996354560083</v>
      </c>
      <c r="D32" s="423">
        <f ca="1">+SOR!D32/'Aggregate As% of GSDP'!L31*100</f>
        <v>3.4443199512752889</v>
      </c>
      <c r="E32" s="423">
        <f ca="1">+SOR!E32/'Aggregate As% of GSDP'!M31*100</f>
        <v>1.7313215189873419</v>
      </c>
      <c r="F32" s="423">
        <f ca="1">+SOR!F32/'Aggregate As% of GSDP'!N31*100</f>
        <v>2.9514774274548636</v>
      </c>
      <c r="G32" s="423">
        <f ca="1">+SOR!G32/'Aggregate As% of GSDP'!O31*100</f>
        <v>2.1625121865616346</v>
      </c>
      <c r="H32" s="423">
        <f ca="1">+SOR!H32/'Aggregate As% of GSDP'!P31*100</f>
        <v>-2.1322587505970874</v>
      </c>
      <c r="I32" s="423">
        <f ca="1">+SOR!I32/'Aggregate As% of GSDP'!Q31*100</f>
        <v>-0.83162601804353897</v>
      </c>
      <c r="J32" s="401">
        <f ca="1">+SOR!C32/'Aggregate As% of GSDP'!D31*100</f>
        <v>87.887897309794312</v>
      </c>
      <c r="K32" s="401">
        <f ca="1">+SOR!D32/'Aggregate As% of GSDP'!E31*100</f>
        <v>90.497304462168088</v>
      </c>
      <c r="L32" s="401">
        <f ca="1">+SOR!E32/'Aggregate As% of GSDP'!F31*100</f>
        <v>72.773862908392005</v>
      </c>
      <c r="M32" s="401">
        <f ca="1">+SOR!F32/'Aggregate As% of GSDP'!G31*100</f>
        <v>87.489860450975726</v>
      </c>
      <c r="N32" s="401">
        <f ca="1">+SOR!G32/'Aggregate As% of GSDP'!H31*100</f>
        <v>48.136545138888884</v>
      </c>
      <c r="O32" s="401">
        <f ca="1">+SOR!H32/'Aggregate As% of GSDP'!I31*100</f>
        <v>-47.514754373479121</v>
      </c>
      <c r="P32" s="401">
        <f ca="1">+SOR!I32/'Aggregate As% of GSDP'!J31*100</f>
        <v>-16.458046511627909</v>
      </c>
    </row>
    <row r="33" spans="1:16" ht="15.75">
      <c r="A33" s="424">
        <v>14</v>
      </c>
      <c r="B33" s="425" t="s">
        <v>37</v>
      </c>
      <c r="C33" s="423">
        <f ca="1">+SOR!C33/'Aggregate As% of GSDP'!K32*100</f>
        <v>5.5781893215345297</v>
      </c>
      <c r="D33" s="423">
        <f ca="1">+SOR!D33/'Aggregate As% of GSDP'!L32*100</f>
        <v>5.4030803337533397</v>
      </c>
      <c r="E33" s="423">
        <f ca="1">+SOR!E33/'Aggregate As% of GSDP'!M32*100</f>
        <v>6.1527094893256837</v>
      </c>
      <c r="F33" s="423">
        <f ca="1">+SOR!F33/'Aggregate As% of GSDP'!N32*100</f>
        <v>5.671332474257273</v>
      </c>
      <c r="G33" s="423">
        <f ca="1">+SOR!G33/'Aggregate As% of GSDP'!O32*100</f>
        <v>6.1947290926126986</v>
      </c>
      <c r="H33" s="423">
        <f ca="1">+SOR!H33/'Aggregate As% of GSDP'!P32*100</f>
        <v>2.2858203673660484</v>
      </c>
      <c r="I33" s="423">
        <f ca="1">+SOR!I33/'Aggregate As% of GSDP'!Q32*100</f>
        <v>2.1953520424849327</v>
      </c>
      <c r="J33" s="401">
        <f ca="1">+SOR!C33/'Aggregate As% of GSDP'!D32*100</f>
        <v>86.003569125089484</v>
      </c>
      <c r="K33" s="401">
        <f ca="1">+SOR!D33/'Aggregate As% of GSDP'!E32*100</f>
        <v>85.726632128766227</v>
      </c>
      <c r="L33" s="401">
        <f ca="1">+SOR!E33/'Aggregate As% of GSDP'!F32*100</f>
        <v>91.059181029467183</v>
      </c>
      <c r="M33" s="401">
        <f ca="1">+SOR!F33/'Aggregate As% of GSDP'!G32*100</f>
        <v>88.522230618272218</v>
      </c>
      <c r="N33" s="401">
        <f ca="1">+SOR!G33/'Aggregate As% of GSDP'!H32*100</f>
        <v>91.086326608714671</v>
      </c>
      <c r="O33" s="401">
        <f ca="1">+SOR!H33/'Aggregate As% of GSDP'!I32*100</f>
        <v>30.163304597701153</v>
      </c>
      <c r="P33" s="401">
        <f ca="1">+SOR!I33/'Aggregate As% of GSDP'!J32*100</f>
        <v>27.845086419753084</v>
      </c>
    </row>
    <row r="34" spans="1:16" ht="15.75">
      <c r="A34" s="424">
        <v>15</v>
      </c>
      <c r="B34" s="425" t="s">
        <v>38</v>
      </c>
      <c r="C34" s="423">
        <f ca="1">+SOR!C34/'Aggregate As% of GSDP'!K33*100</f>
        <v>3.4372517737066692</v>
      </c>
      <c r="D34" s="423">
        <f ca="1">+SOR!D34/'Aggregate As% of GSDP'!L33*100</f>
        <v>3.2136190124982562</v>
      </c>
      <c r="E34" s="423">
        <f ca="1">+SOR!E34/'Aggregate As% of GSDP'!M33*100</f>
        <v>3.247696114296911</v>
      </c>
      <c r="F34" s="423">
        <f ca="1">+SOR!F34/'Aggregate As% of GSDP'!N33*100</f>
        <v>3.1326714492832912</v>
      </c>
      <c r="G34" s="423">
        <f ca="1">+SOR!G34/'Aggregate As% of GSDP'!O33*100</f>
        <v>2.291926194026261</v>
      </c>
      <c r="H34" s="423">
        <f ca="1">+SOR!H34/'Aggregate As% of GSDP'!P33*100</f>
        <v>0.4019159836340826</v>
      </c>
      <c r="I34" s="423">
        <f ca="1">+SOR!I34/'Aggregate As% of GSDP'!Q33*100</f>
        <v>1.1424406605050574</v>
      </c>
      <c r="J34" s="401">
        <f ca="1">+SOR!C34/'Aggregate As% of GSDP'!D33*100</f>
        <v>84.774037354313876</v>
      </c>
      <c r="K34" s="401">
        <f ca="1">+SOR!D34/'Aggregate As% of GSDP'!E33*100</f>
        <v>79.246271912307748</v>
      </c>
      <c r="L34" s="401">
        <f ca="1">+SOR!E34/'Aggregate As% of GSDP'!F33*100</f>
        <v>87.36508552433844</v>
      </c>
      <c r="M34" s="401">
        <f ca="1">+SOR!F34/'Aggregate As% of GSDP'!G33*100</f>
        <v>89.533720633068441</v>
      </c>
      <c r="N34" s="401">
        <f ca="1">+SOR!G34/'Aggregate As% of GSDP'!H33*100</f>
        <v>63.914234781322079</v>
      </c>
      <c r="O34" s="401">
        <f ca="1">+SOR!H34/'Aggregate As% of GSDP'!I33*100</f>
        <v>10.686285714285713</v>
      </c>
      <c r="P34" s="401">
        <f ca="1">+SOR!I34/'Aggregate As% of GSDP'!J33*100</f>
        <v>26.164592760180994</v>
      </c>
    </row>
    <row r="35" spans="1:16" ht="15.75">
      <c r="A35" s="424">
        <v>16</v>
      </c>
      <c r="B35" s="425" t="s">
        <v>39</v>
      </c>
      <c r="C35" s="423">
        <f ca="1">+SOR!C35/'Aggregate As% of GSDP'!K34*100</f>
        <v>5.8621425177403097</v>
      </c>
      <c r="D35" s="423">
        <f ca="1">+SOR!D35/'Aggregate As% of GSDP'!L34*100</f>
        <v>6.6569121962737672</v>
      </c>
      <c r="E35" s="423">
        <f ca="1">+SOR!E35/'Aggregate As% of GSDP'!M34*100</f>
        <v>5.3148947064735168</v>
      </c>
      <c r="F35" s="423">
        <f ca="1">+SOR!F35/'Aggregate As% of GSDP'!N34*100</f>
        <v>5.2582177538139572</v>
      </c>
      <c r="G35" s="423">
        <f ca="1">+SOR!G35/'Aggregate As% of GSDP'!O34*100</f>
        <v>2.1415552416985393</v>
      </c>
      <c r="H35" s="423">
        <f ca="1">+SOR!H35/'Aggregate As% of GSDP'!P34*100</f>
        <v>3.7794454631761019</v>
      </c>
      <c r="I35" s="423">
        <f ca="1">+SOR!I35/'Aggregate As% of GSDP'!Q34*100</f>
        <v>3.0546947800679143</v>
      </c>
      <c r="J35" s="401">
        <f ca="1">+SOR!C35/'Aggregate As% of GSDP'!D34*100</f>
        <v>88.928322762626038</v>
      </c>
      <c r="K35" s="401">
        <f ca="1">+SOR!D35/'Aggregate As% of GSDP'!E34*100</f>
        <v>85.068818511382091</v>
      </c>
      <c r="L35" s="401">
        <f ca="1">+SOR!E35/'Aggregate As% of GSDP'!F34*100</f>
        <v>82.812805604319948</v>
      </c>
      <c r="M35" s="401">
        <f ca="1">+SOR!F35/'Aggregate As% of GSDP'!G34*100</f>
        <v>82.113403550622863</v>
      </c>
      <c r="N35" s="401">
        <f ca="1">+SOR!G35/'Aggregate As% of GSDP'!H34*100</f>
        <v>32.887365943473654</v>
      </c>
      <c r="O35" s="401">
        <f ca="1">+SOR!H35/'Aggregate As% of GSDP'!I34*100</f>
        <v>52.490999168598272</v>
      </c>
      <c r="P35" s="401">
        <f ca="1">+SOR!I35/'Aggregate As% of GSDP'!J34*100</f>
        <v>39.128786127167629</v>
      </c>
    </row>
    <row r="36" spans="1:16" ht="15.75">
      <c r="A36" s="424">
        <v>17</v>
      </c>
      <c r="B36" s="425" t="s">
        <v>40</v>
      </c>
      <c r="C36" s="423">
        <f ca="1">+SOR!C36/'Aggregate As% of GSDP'!K35*100</f>
        <v>1.6475592938497343</v>
      </c>
      <c r="D36" s="423">
        <f ca="1">+SOR!D36/'Aggregate As% of GSDP'!L35*100</f>
        <v>1.6776500108205485</v>
      </c>
      <c r="E36" s="423">
        <f ca="1">+SOR!E36/'Aggregate As% of GSDP'!M35*100</f>
        <v>2.3790739069394307</v>
      </c>
      <c r="F36" s="423">
        <f ca="1">+SOR!F36/'Aggregate As% of GSDP'!N35*100</f>
        <v>2.0682490199779155</v>
      </c>
      <c r="G36" s="423">
        <f ca="1">+SOR!G36/'Aggregate As% of GSDP'!O35*100</f>
        <v>-0.77560018505822093</v>
      </c>
      <c r="H36" s="423">
        <f ca="1">+SOR!H36/'Aggregate As% of GSDP'!P35*100</f>
        <v>-1.5826157765737874</v>
      </c>
      <c r="I36" s="423">
        <f ca="1">+SOR!I36/'Aggregate As% of GSDP'!Q35*100</f>
        <v>-0.19596156236932222</v>
      </c>
      <c r="J36" s="401">
        <f ca="1">+SOR!C36/'Aggregate As% of GSDP'!D35*100</f>
        <v>67.085244715882681</v>
      </c>
      <c r="K36" s="401">
        <f ca="1">+SOR!D36/'Aggregate As% of GSDP'!E35*100</f>
        <v>65.542077547863329</v>
      </c>
      <c r="L36" s="401">
        <f ca="1">+SOR!E36/'Aggregate As% of GSDP'!F35*100</f>
        <v>77.636824610390306</v>
      </c>
      <c r="M36" s="401">
        <f ca="1">+SOR!F36/'Aggregate As% of GSDP'!G35*100</f>
        <v>75.380925987569071</v>
      </c>
      <c r="N36" s="401">
        <f ca="1">+SOR!G36/'Aggregate As% of GSDP'!H35*100</f>
        <v>-18.791527865310169</v>
      </c>
      <c r="O36" s="401">
        <f ca="1">+SOR!H36/'Aggregate As% of GSDP'!I35*100</f>
        <v>-41.578867992310151</v>
      </c>
      <c r="P36" s="401">
        <f ca="1">+SOR!I36/'Aggregate As% of GSDP'!J35*100</f>
        <v>-4.5758065580259943</v>
      </c>
    </row>
    <row r="37" spans="1:16" s="300" customFormat="1">
      <c r="A37" s="421"/>
      <c r="B37" s="422" t="s">
        <v>192</v>
      </c>
      <c r="C37" s="426">
        <f ca="1">+SOR!C37/'Aggregate As% of GSDP'!K36*100</f>
        <v>4.2451905708641515</v>
      </c>
      <c r="D37" s="426">
        <f ca="1">+SOR!D37/'Aggregate As% of GSDP'!L36*100</f>
        <v>4.5465024328686967</v>
      </c>
      <c r="E37" s="426">
        <f ca="1">+SOR!E37/'Aggregate As% of GSDP'!M36*100</f>
        <v>4.5935618992573684</v>
      </c>
      <c r="F37" s="426">
        <f ca="1">+SOR!F37/'Aggregate As% of GSDP'!N36*100</f>
        <v>4.3081470172194871</v>
      </c>
      <c r="G37" s="426">
        <f ca="1">+SOR!G37/'Aggregate As% of GSDP'!O36*100</f>
        <v>3.6192872915136807</v>
      </c>
      <c r="H37" s="426">
        <f ca="1">+SOR!H37/'Aggregate As% of GSDP'!P36*100</f>
        <v>1.8914601000974018</v>
      </c>
      <c r="I37" s="426">
        <f ca="1">+SOR!I37/'Aggregate As% of GSDP'!Q36*100</f>
        <v>2.0989587391452926</v>
      </c>
      <c r="J37" s="403">
        <f ca="1">+SOR!C37/'Aggregate As% of GSDP'!D36*100</f>
        <v>83.825028911221949</v>
      </c>
      <c r="K37" s="403">
        <f ca="1">+SOR!D37/'Aggregate As% of GSDP'!E36*100</f>
        <v>82.906440726874365</v>
      </c>
      <c r="L37" s="403">
        <f ca="1">+SOR!E37/'Aggregate As% of GSDP'!F36*100</f>
        <v>84.944601682691271</v>
      </c>
      <c r="M37" s="403">
        <f ca="1">+SOR!F37/'Aggregate As% of GSDP'!G36*100</f>
        <v>83.628919843800759</v>
      </c>
      <c r="N37" s="403">
        <f ca="1">+SOR!G37/'Aggregate As% of GSDP'!H36*100</f>
        <v>64.077780046561713</v>
      </c>
      <c r="O37" s="403">
        <f ca="1">+SOR!H37/'Aggregate As% of GSDP'!I36*100</f>
        <v>32.216108801963131</v>
      </c>
      <c r="P37" s="403">
        <f ca="1">+SOR!I37/'Aggregate As% of GSDP'!J36*100</f>
        <v>32.094568209774096</v>
      </c>
    </row>
    <row r="38" spans="1:16" s="300" customFormat="1">
      <c r="A38" s="421"/>
      <c r="B38" s="422" t="s">
        <v>243</v>
      </c>
      <c r="C38" s="426">
        <f ca="1">+SOR!C38/'Aggregate As% of GSDP'!K37*100</f>
        <v>4.164957171050049</v>
      </c>
      <c r="D38" s="426">
        <f ca="1">+SOR!D38/'Aggregate As% of GSDP'!L37*100</f>
        <v>4.4629705562151223</v>
      </c>
      <c r="E38" s="426">
        <f ca="1">+SOR!E38/'Aggregate As% of GSDP'!M37*100</f>
        <v>4.401755155971693</v>
      </c>
      <c r="F38" s="426">
        <f ca="1">+SOR!F38/'Aggregate As% of GSDP'!N37*100</f>
        <v>4.1359076293979458</v>
      </c>
      <c r="G38" s="426">
        <f ca="1">+SOR!G38/'Aggregate As% of GSDP'!O37*100</f>
        <v>3.2675020521066598</v>
      </c>
      <c r="H38" s="426">
        <f ca="1">+SOR!H38/'Aggregate As% of GSDP'!P37*100</f>
        <v>1.6223081683773277</v>
      </c>
      <c r="I38" s="426">
        <f ca="1">+SOR!I38/'Aggregate As% of GSDP'!Q37*100</f>
        <v>1.8348760577095879</v>
      </c>
      <c r="J38" s="403">
        <f ca="1">+SOR!C38/'Aggregate As% of GSDP'!D37*100</f>
        <v>77.899516686788857</v>
      </c>
      <c r="K38" s="403">
        <f ca="1">+SOR!D38/'Aggregate As% of GSDP'!E37*100</f>
        <v>77.668044493644132</v>
      </c>
      <c r="L38" s="403">
        <f ca="1">+SOR!E38/'Aggregate As% of GSDP'!F37*100</f>
        <v>78.260991241830197</v>
      </c>
      <c r="M38" s="403">
        <f ca="1">+SOR!F38/'Aggregate As% of GSDP'!G37*100</f>
        <v>77.067702938959556</v>
      </c>
      <c r="N38" s="403">
        <f ca="1">+SOR!G38/'Aggregate As% of GSDP'!H37*100</f>
        <v>56.220320222876886</v>
      </c>
      <c r="O38" s="403">
        <f ca="1">+SOR!H38/'Aggregate As% of GSDP'!I37*100</f>
        <v>26.887133711494904</v>
      </c>
      <c r="P38" s="403">
        <f ca="1">+SOR!I38/'Aggregate As% of GSDP'!J37*100</f>
        <v>27.42483653277209</v>
      </c>
    </row>
    <row r="39" spans="1:16" ht="15.75">
      <c r="A39" s="421" t="s">
        <v>231</v>
      </c>
      <c r="B39" s="422" t="s">
        <v>244</v>
      </c>
      <c r="C39" s="423"/>
      <c r="D39" s="423"/>
      <c r="E39" s="423"/>
      <c r="F39" s="423"/>
      <c r="G39" s="423"/>
      <c r="H39" s="423"/>
      <c r="I39" s="423"/>
      <c r="J39" s="401"/>
      <c r="K39" s="401"/>
      <c r="L39" s="401"/>
      <c r="M39" s="401"/>
      <c r="N39" s="401"/>
      <c r="O39" s="401"/>
      <c r="P39" s="401"/>
    </row>
    <row r="40" spans="1:16" ht="15" customHeight="1">
      <c r="A40" s="424">
        <v>1</v>
      </c>
      <c r="B40" s="425" t="s">
        <v>233</v>
      </c>
      <c r="C40" s="423">
        <f ca="1">+SOR!C40/'Aggregate As% of GSDP'!K39*100</f>
        <v>5.0821649667293451</v>
      </c>
      <c r="D40" s="423">
        <f ca="1">+SOR!D40/'Aggregate As% of GSDP'!L39*100</f>
        <v>4.6569279756031934</v>
      </c>
      <c r="E40" s="423">
        <f ca="1">+SOR!E40/'Aggregate As% of GSDP'!M39*100</f>
        <v>4.4003117834380276</v>
      </c>
      <c r="F40" s="423">
        <f ca="1">+SOR!F40/'Aggregate As% of GSDP'!N39*100</f>
        <v>4.082835812037839</v>
      </c>
      <c r="G40" s="423">
        <f ca="1">+SOR!G40/'Aggregate As% of GSDP'!O39*100</f>
        <v>6.0303511956276497</v>
      </c>
      <c r="H40" s="423">
        <f ca="1">+SOR!H40/'Aggregate As% of GSDP'!P39*100</f>
        <v>4.5353209599650803</v>
      </c>
      <c r="I40" s="423">
        <f ca="1">+SOR!I40/'Aggregate As% of GSDP'!Q39*100</f>
        <v>75.271162790697673</v>
      </c>
      <c r="J40" s="401">
        <f ca="1">+SOR!C40/'Aggregate As% of GSDP'!D39*100</f>
        <v>91.765578703708201</v>
      </c>
      <c r="K40" s="401">
        <f ca="1">+SOR!D40/'Aggregate As% of GSDP'!E39*100</f>
        <v>91.755301849771982</v>
      </c>
      <c r="L40" s="401">
        <f ca="1">+SOR!E40/'Aggregate As% of GSDP'!F39*100</f>
        <v>86.674413970599318</v>
      </c>
      <c r="M40" s="401">
        <f ca="1">+SOR!F40/'Aggregate As% of GSDP'!G39*100</f>
        <v>90.521842105263147</v>
      </c>
      <c r="N40" s="401">
        <f ca="1">+SOR!G40/'Aggregate As% of GSDP'!H39*100</f>
        <v>98.880416734997894</v>
      </c>
      <c r="O40" s="401">
        <f ca="1">+SOR!H40/'Aggregate As% of GSDP'!I39*100</f>
        <v>94.3292906909723</v>
      </c>
      <c r="P40" s="401">
        <f ca="1">+SOR!I40/'Aggregate As% of GSDP'!J39*100</f>
        <v>97.337303019367255</v>
      </c>
    </row>
    <row r="41" spans="1:16" ht="15.75" customHeight="1">
      <c r="A41" s="424">
        <v>2</v>
      </c>
      <c r="B41" s="425" t="s">
        <v>44</v>
      </c>
      <c r="C41" s="423">
        <f ca="1">+SOR!C41/'Aggregate As% of GSDP'!K40*100</f>
        <v>8.9637368933088322</v>
      </c>
      <c r="D41" s="423">
        <f ca="1">+SOR!D41/'Aggregate As% of GSDP'!L40*100</f>
        <v>8.9935164179104472</v>
      </c>
      <c r="E41" s="423">
        <f ca="1">+SOR!E41/'Aggregate As% of GSDP'!M40*100</f>
        <v>10.010711963589076</v>
      </c>
      <c r="F41" s="423">
        <f ca="1">+SOR!F41/'Aggregate As% of GSDP'!N40*100</f>
        <v>10.556675832569509</v>
      </c>
      <c r="G41" s="423">
        <f ca="1">+SOR!G41/'Aggregate As% of GSDP'!O40*100</f>
        <v>9.6051264524948738</v>
      </c>
      <c r="H41" s="423">
        <f ca="1">+SOR!H41/'Aggregate As% of GSDP'!P40*100</f>
        <v>2.7349348534201958</v>
      </c>
      <c r="I41" s="423">
        <f ca="1">+SOR!I41/'Aggregate As% of GSDP'!Q40*100</f>
        <v>2.8154418604651168</v>
      </c>
      <c r="J41" s="401">
        <f ca="1">+SOR!C41/'Aggregate As% of GSDP'!D40*100</f>
        <v>76.305879691951588</v>
      </c>
      <c r="K41" s="401">
        <f ca="1">+SOR!D41/'Aggregate As% of GSDP'!E40*100</f>
        <v>85.207753245225305</v>
      </c>
      <c r="L41" s="401">
        <f ca="1">+SOR!E41/'Aggregate As% of GSDP'!F40*100</f>
        <v>84.950287186674089</v>
      </c>
      <c r="M41" s="401">
        <f ca="1">+SOR!F41/'Aggregate As% of GSDP'!G40*100</f>
        <v>88.453119999999998</v>
      </c>
      <c r="N41" s="401">
        <f ca="1">+SOR!G41/'Aggregate As% of GSDP'!H40*100</f>
        <v>51.099272727272727</v>
      </c>
      <c r="O41" s="401">
        <f ca="1">+SOR!H41/'Aggregate As% of GSDP'!I40*100</f>
        <v>33.77801724137931</v>
      </c>
      <c r="P41" s="401">
        <f ca="1">+SOR!I41/'Aggregate As% of GSDP'!J40*100</f>
        <v>30.266000000000005</v>
      </c>
    </row>
    <row r="42" spans="1:16" s="300" customFormat="1">
      <c r="A42" s="427"/>
      <c r="B42" s="428" t="s">
        <v>234</v>
      </c>
      <c r="C42" s="426">
        <f ca="1">+SOR!C42/'Aggregate As% of GSDP'!K41*100</f>
        <v>5.2969308245313931</v>
      </c>
      <c r="D42" s="426">
        <f ca="1">+SOR!D42/'Aggregate As% of GSDP'!L41*100</f>
        <v>4.875296843919573</v>
      </c>
      <c r="E42" s="426">
        <f ca="1">+SOR!E42/'Aggregate As% of GSDP'!M41*100</f>
        <v>4.7005443126611954</v>
      </c>
      <c r="F42" s="426">
        <f ca="1">+SOR!F42/'Aggregate As% of GSDP'!N41*100</f>
        <v>4.4016513381857854</v>
      </c>
      <c r="G42" s="426">
        <f ca="1">+SOR!G42/'Aggregate As% of GSDP'!O41*100</f>
        <v>6.1981982560248019</v>
      </c>
      <c r="H42" s="426">
        <f ca="1">+SOR!H42/'Aggregate As% of GSDP'!P41*100</f>
        <v>4.4506161521347076</v>
      </c>
      <c r="I42" s="426">
        <f ca="1">+SOR!I42/'Aggregate As% of GSDP'!Q41*100</f>
        <v>39.043302325581394</v>
      </c>
      <c r="J42" s="403">
        <f ca="1">+SOR!C42/'Aggregate As% of GSDP'!D41*100</f>
        <v>90.057201065950522</v>
      </c>
      <c r="K42" s="403">
        <f ca="1">+SOR!D42/'Aggregate As% of GSDP'!E41*100</f>
        <v>91.105003236012578</v>
      </c>
      <c r="L42" s="403">
        <f ca="1">+SOR!E42/'Aggregate As% of GSDP'!F41*100</f>
        <v>86.474394351609021</v>
      </c>
      <c r="M42" s="403">
        <f ca="1">+SOR!F42/'Aggregate As% of GSDP'!G41*100</f>
        <v>90.272478302796515</v>
      </c>
      <c r="N42" s="403">
        <f ca="1">+SOR!G42/'Aggregate As% of GSDP'!H41*100</f>
        <v>92.581462116334791</v>
      </c>
      <c r="O42" s="403">
        <f ca="1">+SOR!H42/'Aggregate As% of GSDP'!I41*100</f>
        <v>89.681350586042512</v>
      </c>
      <c r="P42" s="403">
        <f ca="1">+SOR!I42/'Aggregate As% of GSDP'!J41*100</f>
        <v>90.135402126060342</v>
      </c>
    </row>
    <row r="43" spans="1:16" s="300" customFormat="1" ht="30">
      <c r="A43" s="429"/>
      <c r="B43" s="430" t="s">
        <v>249</v>
      </c>
      <c r="C43" s="426">
        <f ca="1">+SOR!C43/'Aggregate As% of GSDP'!K42*100</f>
        <v>4.208490162964142</v>
      </c>
      <c r="D43" s="426">
        <f ca="1">+SOR!D43/'Aggregate As% of GSDP'!L42*100</f>
        <v>4.4793916548057693</v>
      </c>
      <c r="E43" s="426">
        <f ca="1">+SOR!E43/'Aggregate As% of GSDP'!M42*100</f>
        <v>4.4136740369800629</v>
      </c>
      <c r="F43" s="426">
        <f ca="1">+SOR!F43/'Aggregate As% of GSDP'!N42*100</f>
        <v>4.1461674715475443</v>
      </c>
      <c r="G43" s="426">
        <f ca="1">+SOR!G43/'Aggregate As% of GSDP'!O42*100</f>
        <v>3.3829823685345004</v>
      </c>
      <c r="H43" s="426">
        <f ca="1">+SOR!H43/'Aggregate As% of GSDP'!P42*100</f>
        <v>1.7363810214653326</v>
      </c>
      <c r="I43" s="426">
        <f ca="1">+SOR!I43/'Aggregate As% of GSDP'!Q42*100</f>
        <v>1.9945416249230568</v>
      </c>
      <c r="J43" s="403">
        <f ca="1">+SOR!C43/'Aggregate As% of GSDP'!D42*100</f>
        <v>78.411899526702271</v>
      </c>
      <c r="K43" s="403">
        <f ca="1">+SOR!D43/'Aggregate As% of GSDP'!E42*100</f>
        <v>78.167767884698961</v>
      </c>
      <c r="L43" s="403">
        <f ca="1">+SOR!E43/'Aggregate As% of GSDP'!F42*100</f>
        <v>78.578061470975442</v>
      </c>
      <c r="M43" s="403">
        <f ca="1">+SOR!F43/'Aggregate As% of GSDP'!G42*100</f>
        <v>77.532545817611123</v>
      </c>
      <c r="N43" s="403">
        <f ca="1">+SOR!G43/'Aggregate As% of GSDP'!H42*100</f>
        <v>57.860916335143486</v>
      </c>
      <c r="O43" s="403">
        <f ca="1">+SOR!H43/'Aggregate As% of GSDP'!I42*100</f>
        <v>28.985227696435366</v>
      </c>
      <c r="P43" s="403">
        <f ca="1">+SOR!I43/'Aggregate As% of GSDP'!J42*100</f>
        <v>29.127055003636009</v>
      </c>
    </row>
    <row r="44" spans="1:16">
      <c r="B44" s="545" t="s">
        <v>258</v>
      </c>
      <c r="C44" s="545"/>
      <c r="D44" s="545"/>
      <c r="E44" s="545"/>
      <c r="F44" s="545"/>
      <c r="G44" s="545"/>
      <c r="H44" s="545"/>
      <c r="I44" s="545"/>
      <c r="J44" s="545"/>
      <c r="K44" s="545"/>
      <c r="L44" s="545"/>
    </row>
    <row r="45" spans="1:16" ht="15.75">
      <c r="C45" s="297" t="s">
        <v>48</v>
      </c>
      <c r="D45" s="297" t="s">
        <v>49</v>
      </c>
      <c r="E45" s="297" t="s">
        <v>5</v>
      </c>
      <c r="F45" s="297" t="s">
        <v>6</v>
      </c>
      <c r="G45" s="298" t="s">
        <v>7</v>
      </c>
      <c r="H45" s="299" t="s">
        <v>122</v>
      </c>
      <c r="I45" s="299" t="s">
        <v>139</v>
      </c>
    </row>
    <row r="46" spans="1:16" ht="27">
      <c r="B46" s="300" t="s">
        <v>216</v>
      </c>
      <c r="C46" s="301">
        <v>1.0575600000000001</v>
      </c>
      <c r="D46" s="301">
        <v>1.1492</v>
      </c>
      <c r="E46" s="301">
        <v>1.21888</v>
      </c>
      <c r="F46" s="301">
        <v>1.3283799999999999</v>
      </c>
      <c r="G46" s="301">
        <v>1.4418200000000001</v>
      </c>
      <c r="H46" s="302">
        <v>1.5452399999999999</v>
      </c>
      <c r="I46" s="302">
        <v>1.6520900000000001</v>
      </c>
    </row>
    <row r="48" spans="1:16">
      <c r="J48" s="296" t="s">
        <v>259</v>
      </c>
      <c r="K48" s="418"/>
    </row>
    <row r="50" spans="10:14">
      <c r="J50" s="296">
        <v>15700.514983529196</v>
      </c>
      <c r="K50" s="296">
        <v>12776.009690113135</v>
      </c>
      <c r="L50" s="296">
        <v>10354.838883673092</v>
      </c>
      <c r="M50" s="296">
        <v>11424.59126457664</v>
      </c>
      <c r="N50" s="296">
        <v>11078.10912224198</v>
      </c>
    </row>
    <row r="51" spans="10:14">
      <c r="J51" s="296">
        <v>869.18718082286432</v>
      </c>
      <c r="K51" s="296">
        <v>803.05242184141832</v>
      </c>
      <c r="L51" s="296">
        <v>1106.8895572140616</v>
      </c>
      <c r="M51" s="296">
        <v>984.89080423971768</v>
      </c>
      <c r="N51" s="296">
        <v>876.12699927861559</v>
      </c>
    </row>
  </sheetData>
  <mergeCells count="7">
    <mergeCell ref="B44:L44"/>
    <mergeCell ref="A1:P1"/>
    <mergeCell ref="O2:P2"/>
    <mergeCell ref="A3:A4"/>
    <mergeCell ref="B3:B4"/>
    <mergeCell ref="C3:I3"/>
    <mergeCell ref="J3:P3"/>
  </mergeCells>
  <phoneticPr fontId="42" type="noConversion"/>
  <printOptions horizontalCentered="1"/>
  <pageMargins left="0.23622047244094491" right="0.27559055118110237" top="0.78740157480314965" bottom="0.39370078740157483" header="0" footer="0"/>
  <pageSetup paperSize="9" scale="65" orientation="landscape" horizont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P47"/>
  <sheetViews>
    <sheetView workbookViewId="0">
      <pane xSplit="2" ySplit="5" topLeftCell="C6" activePane="bottomRight" state="frozen"/>
      <selection activeCell="J4" sqref="J4:P5"/>
      <selection pane="topRight" activeCell="J4" sqref="J4:P5"/>
      <selection pane="bottomLeft" activeCell="J4" sqref="J4:P5"/>
      <selection pane="bottomRight" activeCell="A2" sqref="A2"/>
    </sheetView>
  </sheetViews>
  <sheetFormatPr defaultRowHeight="15"/>
  <cols>
    <col min="1" max="1" width="5.28515625" style="400" customWidth="1"/>
    <col min="2" max="2" width="33.85546875" style="296" customWidth="1"/>
    <col min="3" max="15" width="12" style="296" customWidth="1"/>
    <col min="16" max="16" width="12.85546875" style="296" customWidth="1"/>
    <col min="17" max="16384" width="9.140625" style="296"/>
  </cols>
  <sheetData>
    <row r="1" spans="1:16" ht="30.75" customHeight="1">
      <c r="A1" s="523" t="s">
        <v>320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</row>
    <row r="2" spans="1:16" ht="19.5" customHeight="1">
      <c r="A2" s="343"/>
      <c r="B2" s="122">
        <v>41834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556" t="s">
        <v>84</v>
      </c>
      <c r="P2" s="556"/>
    </row>
    <row r="3" spans="1:16" s="431" customFormat="1" ht="24" customHeight="1">
      <c r="A3" s="541" t="s">
        <v>71</v>
      </c>
      <c r="B3" s="557" t="s">
        <v>85</v>
      </c>
      <c r="C3" s="550" t="s">
        <v>262</v>
      </c>
      <c r="D3" s="550"/>
      <c r="E3" s="550"/>
      <c r="F3" s="550"/>
      <c r="G3" s="550"/>
      <c r="H3" s="550"/>
      <c r="I3" s="550"/>
      <c r="J3" s="550" t="s">
        <v>263</v>
      </c>
      <c r="K3" s="550"/>
      <c r="L3" s="550"/>
      <c r="M3" s="550"/>
      <c r="N3" s="550"/>
      <c r="O3" s="550"/>
      <c r="P3" s="550"/>
    </row>
    <row r="4" spans="1:16" s="431" customFormat="1">
      <c r="A4" s="541"/>
      <c r="B4" s="557"/>
      <c r="C4" s="377" t="s">
        <v>48</v>
      </c>
      <c r="D4" s="377" t="s">
        <v>49</v>
      </c>
      <c r="E4" s="377" t="s">
        <v>5</v>
      </c>
      <c r="F4" s="377" t="s">
        <v>6</v>
      </c>
      <c r="G4" s="377" t="s">
        <v>7</v>
      </c>
      <c r="H4" s="377" t="s">
        <v>122</v>
      </c>
      <c r="I4" s="377" t="s">
        <v>139</v>
      </c>
      <c r="J4" s="377" t="s">
        <v>48</v>
      </c>
      <c r="K4" s="377" t="s">
        <v>49</v>
      </c>
      <c r="L4" s="377" t="s">
        <v>5</v>
      </c>
      <c r="M4" s="377" t="s">
        <v>6</v>
      </c>
      <c r="N4" s="377" t="s">
        <v>7</v>
      </c>
      <c r="O4" s="377" t="s">
        <v>122</v>
      </c>
      <c r="P4" s="377" t="s">
        <v>139</v>
      </c>
    </row>
    <row r="5" spans="1:16" s="431" customFormat="1" ht="24">
      <c r="A5" s="541"/>
      <c r="B5" s="557"/>
      <c r="C5" s="377" t="s">
        <v>8</v>
      </c>
      <c r="D5" s="377" t="s">
        <v>8</v>
      </c>
      <c r="E5" s="377" t="s">
        <v>8</v>
      </c>
      <c r="F5" s="377" t="s">
        <v>8</v>
      </c>
      <c r="G5" s="377" t="s">
        <v>264</v>
      </c>
      <c r="H5" s="377" t="s">
        <v>224</v>
      </c>
      <c r="I5" s="377" t="s">
        <v>225</v>
      </c>
      <c r="J5" s="377" t="s">
        <v>8</v>
      </c>
      <c r="K5" s="377" t="s">
        <v>8</v>
      </c>
      <c r="L5" s="377" t="s">
        <v>8</v>
      </c>
      <c r="M5" s="377" t="s">
        <v>8</v>
      </c>
      <c r="N5" s="377" t="s">
        <v>253</v>
      </c>
      <c r="O5" s="377" t="s">
        <v>224</v>
      </c>
      <c r="P5" s="377" t="s">
        <v>225</v>
      </c>
    </row>
    <row r="6" spans="1:16" ht="15.75">
      <c r="A6" s="421" t="s">
        <v>226</v>
      </c>
      <c r="B6" s="422" t="s">
        <v>227</v>
      </c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</row>
    <row r="7" spans="1:16" ht="15.75">
      <c r="A7" s="424">
        <v>1</v>
      </c>
      <c r="B7" s="425" t="s">
        <v>12</v>
      </c>
      <c r="C7" s="380">
        <v>369.27</v>
      </c>
      <c r="D7" s="380">
        <v>247.59000000000003</v>
      </c>
      <c r="E7" s="380">
        <v>367.46</v>
      </c>
      <c r="F7" s="380">
        <v>158.13</v>
      </c>
      <c r="G7" s="380">
        <v>317.86</v>
      </c>
      <c r="H7" s="380">
        <v>479.62</v>
      </c>
      <c r="I7" s="380">
        <v>615</v>
      </c>
      <c r="J7" s="380">
        <f t="shared" ref="J7:J17" si="0">+C7/C$46</f>
        <v>349.17167820265513</v>
      </c>
      <c r="K7" s="380">
        <f t="shared" ref="K7:K17" si="1">+D7/D$46</f>
        <v>215.44552732335541</v>
      </c>
      <c r="L7" s="380">
        <f t="shared" ref="L7:L17" si="2">+E7/E$46</f>
        <v>301.47348385402989</v>
      </c>
      <c r="M7" s="380">
        <f t="shared" ref="M7:M17" si="3">+F7/F$46</f>
        <v>119.03973260663365</v>
      </c>
      <c r="N7" s="380">
        <f t="shared" ref="N7:N17" si="4">+G7/G$46</f>
        <v>220.45747735500964</v>
      </c>
      <c r="O7" s="380">
        <f t="shared" ref="O7:O17" si="5">+H7/H$46</f>
        <v>310.38544174367735</v>
      </c>
      <c r="P7" s="380">
        <f t="shared" ref="P7:P17" si="6">+I7/I$46</f>
        <v>372.25574877881957</v>
      </c>
    </row>
    <row r="8" spans="1:16" ht="15.75">
      <c r="A8" s="424">
        <v>2</v>
      </c>
      <c r="B8" s="425" t="s">
        <v>13</v>
      </c>
      <c r="C8" s="380">
        <v>236.41000000000008</v>
      </c>
      <c r="D8" s="380">
        <v>1850.1000000000001</v>
      </c>
      <c r="E8" s="380">
        <v>3256.2</v>
      </c>
      <c r="F8" s="380">
        <v>4106.2300000000014</v>
      </c>
      <c r="G8" s="380">
        <v>2738.65</v>
      </c>
      <c r="H8" s="380">
        <v>4100.1099999999997</v>
      </c>
      <c r="I8" s="380">
        <v>5289.11</v>
      </c>
      <c r="J8" s="380">
        <f t="shared" si="0"/>
        <v>223.54287227202246</v>
      </c>
      <c r="K8" s="380">
        <f t="shared" si="1"/>
        <v>1609.9025408980162</v>
      </c>
      <c r="L8" s="380">
        <f t="shared" si="2"/>
        <v>2671.4688894723022</v>
      </c>
      <c r="M8" s="380">
        <f t="shared" si="3"/>
        <v>3091.1561450789695</v>
      </c>
      <c r="N8" s="380">
        <f t="shared" si="4"/>
        <v>1899.4395971757917</v>
      </c>
      <c r="O8" s="380">
        <f t="shared" si="5"/>
        <v>2653.3807046154643</v>
      </c>
      <c r="P8" s="380">
        <f t="shared" si="6"/>
        <v>3201.4660218268978</v>
      </c>
    </row>
    <row r="9" spans="1:16" ht="15.75">
      <c r="A9" s="424">
        <v>3</v>
      </c>
      <c r="B9" s="425" t="s">
        <v>14</v>
      </c>
      <c r="C9" s="380">
        <v>1413.1900000000003</v>
      </c>
      <c r="D9" s="380">
        <v>1886.12</v>
      </c>
      <c r="E9" s="380">
        <v>1950.7699999999998</v>
      </c>
      <c r="F9" s="380">
        <v>1611.23</v>
      </c>
      <c r="G9" s="380">
        <v>4076.19</v>
      </c>
      <c r="H9" s="380">
        <v>4949.3100000000004</v>
      </c>
      <c r="I9" s="380">
        <v>5312.45</v>
      </c>
      <c r="J9" s="380">
        <f t="shared" si="0"/>
        <v>1336.2740648284732</v>
      </c>
      <c r="K9" s="380">
        <f t="shared" si="1"/>
        <v>1641.2460842325095</v>
      </c>
      <c r="L9" s="380">
        <f t="shared" si="2"/>
        <v>1600.4610790233655</v>
      </c>
      <c r="M9" s="380">
        <f t="shared" si="3"/>
        <v>1212.9285294870444</v>
      </c>
      <c r="N9" s="380">
        <f t="shared" si="4"/>
        <v>2827.1143415960382</v>
      </c>
      <c r="O9" s="380">
        <f t="shared" si="5"/>
        <v>3202.9393492273048</v>
      </c>
      <c r="P9" s="380">
        <f t="shared" si="6"/>
        <v>3215.5935814634795</v>
      </c>
    </row>
    <row r="10" spans="1:16" ht="15.75">
      <c r="A10" s="424">
        <v>4</v>
      </c>
      <c r="B10" s="425" t="s">
        <v>228</v>
      </c>
      <c r="C10" s="380">
        <v>2580.3100000000004</v>
      </c>
      <c r="D10" s="380">
        <v>3064.66</v>
      </c>
      <c r="E10" s="380">
        <v>2139.8500000000004</v>
      </c>
      <c r="F10" s="380">
        <v>3560</v>
      </c>
      <c r="G10" s="380">
        <v>-7428.13</v>
      </c>
      <c r="H10" s="380">
        <v>-7000.99</v>
      </c>
      <c r="I10" s="380">
        <v>5001.82</v>
      </c>
      <c r="J10" s="380">
        <f t="shared" si="0"/>
        <v>2439.8710238662584</v>
      </c>
      <c r="K10" s="380">
        <f t="shared" si="1"/>
        <v>2666.7768882701007</v>
      </c>
      <c r="L10" s="380">
        <f t="shared" si="2"/>
        <v>1755.5870963507487</v>
      </c>
      <c r="M10" s="380">
        <f t="shared" si="3"/>
        <v>2679.9560366762526</v>
      </c>
      <c r="N10" s="380">
        <f t="shared" si="4"/>
        <v>-5151.9121665672546</v>
      </c>
      <c r="O10" s="380">
        <f t="shared" si="5"/>
        <v>-4530.6813181123971</v>
      </c>
      <c r="P10" s="380">
        <f t="shared" si="6"/>
        <v>3027.5711371656507</v>
      </c>
    </row>
    <row r="11" spans="1:16" ht="15.75">
      <c r="A11" s="424">
        <v>5</v>
      </c>
      <c r="B11" s="425" t="s">
        <v>16</v>
      </c>
      <c r="C11" s="380">
        <v>252.25</v>
      </c>
      <c r="D11" s="380">
        <v>257.56000000000006</v>
      </c>
      <c r="E11" s="380">
        <v>426.48</v>
      </c>
      <c r="F11" s="380">
        <v>225.23999999999995</v>
      </c>
      <c r="G11" s="380">
        <v>549.66</v>
      </c>
      <c r="H11" s="380">
        <v>695.28</v>
      </c>
      <c r="I11" s="380">
        <v>672.77</v>
      </c>
      <c r="J11" s="380">
        <f t="shared" si="0"/>
        <v>238.52074586784673</v>
      </c>
      <c r="K11" s="380">
        <f t="shared" si="1"/>
        <v>224.1211277410373</v>
      </c>
      <c r="L11" s="380">
        <f t="shared" si="2"/>
        <v>349.89498556051461</v>
      </c>
      <c r="M11" s="380">
        <f t="shared" si="3"/>
        <v>169.55991508453903</v>
      </c>
      <c r="N11" s="380">
        <f t="shared" si="4"/>
        <v>381.22650538902218</v>
      </c>
      <c r="O11" s="380">
        <f t="shared" si="5"/>
        <v>449.94952240428671</v>
      </c>
      <c r="P11" s="380">
        <f t="shared" si="6"/>
        <v>407.22357740801044</v>
      </c>
    </row>
    <row r="12" spans="1:16" ht="15.75">
      <c r="A12" s="424">
        <v>6</v>
      </c>
      <c r="B12" s="425" t="s">
        <v>17</v>
      </c>
      <c r="C12" s="380">
        <v>189.3</v>
      </c>
      <c r="D12" s="380">
        <v>201.25999999999996</v>
      </c>
      <c r="E12" s="380">
        <v>325.55</v>
      </c>
      <c r="F12" s="380">
        <v>295.49</v>
      </c>
      <c r="G12" s="380">
        <v>646.33000000000004</v>
      </c>
      <c r="H12" s="380">
        <v>794.95</v>
      </c>
      <c r="I12" s="380">
        <v>848.26</v>
      </c>
      <c r="J12" s="380">
        <f t="shared" si="0"/>
        <v>178.99693634403721</v>
      </c>
      <c r="K12" s="380">
        <f t="shared" si="1"/>
        <v>175.13052558301425</v>
      </c>
      <c r="L12" s="380">
        <f t="shared" si="2"/>
        <v>267.08945917563665</v>
      </c>
      <c r="M12" s="380">
        <f t="shared" si="3"/>
        <v>222.44387901052411</v>
      </c>
      <c r="N12" s="380">
        <f t="shared" si="4"/>
        <v>448.27370961701183</v>
      </c>
      <c r="O12" s="380">
        <f t="shared" si="5"/>
        <v>514.45082964458595</v>
      </c>
      <c r="P12" s="380">
        <f t="shared" si="6"/>
        <v>513.4466039985715</v>
      </c>
    </row>
    <row r="13" spans="1:16" ht="15.75">
      <c r="A13" s="424">
        <v>7</v>
      </c>
      <c r="B13" s="425" t="s">
        <v>18</v>
      </c>
      <c r="C13" s="380">
        <v>269.97000000000003</v>
      </c>
      <c r="D13" s="380">
        <v>255.92000000000002</v>
      </c>
      <c r="E13" s="380">
        <v>201.46000000000004</v>
      </c>
      <c r="F13" s="380">
        <v>485.98</v>
      </c>
      <c r="G13" s="380">
        <v>778</v>
      </c>
      <c r="H13" s="380">
        <v>774.86</v>
      </c>
      <c r="I13" s="380">
        <v>705.46</v>
      </c>
      <c r="J13" s="380">
        <f t="shared" si="0"/>
        <v>255.27629638034722</v>
      </c>
      <c r="K13" s="380">
        <f t="shared" si="1"/>
        <v>222.69404803341456</v>
      </c>
      <c r="L13" s="380">
        <f t="shared" si="2"/>
        <v>165.2828826463639</v>
      </c>
      <c r="M13" s="380">
        <f t="shared" si="3"/>
        <v>365.84411087188909</v>
      </c>
      <c r="N13" s="380">
        <f t="shared" si="4"/>
        <v>539.59578865600417</v>
      </c>
      <c r="O13" s="380">
        <f t="shared" si="5"/>
        <v>501.44961300509954</v>
      </c>
      <c r="P13" s="380">
        <f t="shared" si="6"/>
        <v>427.01063501383095</v>
      </c>
    </row>
    <row r="14" spans="1:16" ht="15.75">
      <c r="A14" s="424">
        <v>8</v>
      </c>
      <c r="B14" s="425" t="s">
        <v>19</v>
      </c>
      <c r="C14" s="380">
        <v>358.55999999999995</v>
      </c>
      <c r="D14" s="380">
        <v>492.57</v>
      </c>
      <c r="E14" s="380">
        <v>514.63999999999987</v>
      </c>
      <c r="F14" s="380">
        <v>238.97000000000003</v>
      </c>
      <c r="G14" s="380">
        <v>657.73</v>
      </c>
      <c r="H14" s="380">
        <v>777.46</v>
      </c>
      <c r="I14" s="380">
        <v>687.93</v>
      </c>
      <c r="J14" s="380">
        <f t="shared" si="0"/>
        <v>339.04459321456932</v>
      </c>
      <c r="K14" s="380">
        <f t="shared" si="1"/>
        <v>428.61990950226243</v>
      </c>
      <c r="L14" s="380">
        <f t="shared" si="2"/>
        <v>422.22368075610387</v>
      </c>
      <c r="M14" s="380">
        <f t="shared" si="3"/>
        <v>179.89581294509105</v>
      </c>
      <c r="N14" s="380">
        <f t="shared" si="4"/>
        <v>456.18038312688128</v>
      </c>
      <c r="O14" s="380">
        <f t="shared" si="5"/>
        <v>503.13219952887579</v>
      </c>
      <c r="P14" s="380">
        <f t="shared" si="6"/>
        <v>416.39983293888343</v>
      </c>
    </row>
    <row r="15" spans="1:16" ht="15.75">
      <c r="A15" s="424">
        <v>9</v>
      </c>
      <c r="B15" s="425" t="s">
        <v>20</v>
      </c>
      <c r="C15" s="380">
        <v>237.70999999999998</v>
      </c>
      <c r="D15" s="380">
        <v>288.17</v>
      </c>
      <c r="E15" s="380">
        <v>389.32</v>
      </c>
      <c r="F15" s="380">
        <v>117.04</v>
      </c>
      <c r="G15" s="380">
        <v>278.66000000000003</v>
      </c>
      <c r="H15" s="380">
        <v>452.76</v>
      </c>
      <c r="I15" s="380">
        <v>588.66</v>
      </c>
      <c r="J15" s="380">
        <f t="shared" si="0"/>
        <v>224.77211694844735</v>
      </c>
      <c r="K15" s="380">
        <f t="shared" si="1"/>
        <v>250.75704838148278</v>
      </c>
      <c r="L15" s="380">
        <f t="shared" si="2"/>
        <v>319.40798109740092</v>
      </c>
      <c r="M15" s="380">
        <f t="shared" si="3"/>
        <v>88.107318688929382</v>
      </c>
      <c r="N15" s="380">
        <f t="shared" si="4"/>
        <v>193.26961756668655</v>
      </c>
      <c r="O15" s="380">
        <f t="shared" si="5"/>
        <v>293.00302865574281</v>
      </c>
      <c r="P15" s="380">
        <f t="shared" si="6"/>
        <v>356.31230744087787</v>
      </c>
    </row>
    <row r="16" spans="1:16" ht="15.75">
      <c r="A16" s="424">
        <v>10</v>
      </c>
      <c r="B16" s="425" t="s">
        <v>21</v>
      </c>
      <c r="C16" s="380">
        <v>0.85</v>
      </c>
      <c r="D16" s="380">
        <v>65.510000000000005</v>
      </c>
      <c r="E16" s="380">
        <v>619.01</v>
      </c>
      <c r="F16" s="380">
        <v>553.66</v>
      </c>
      <c r="G16" s="380">
        <v>885.44</v>
      </c>
      <c r="H16" s="380">
        <v>1274.3</v>
      </c>
      <c r="I16" s="380">
        <v>1537.15</v>
      </c>
      <c r="J16" s="380">
        <f t="shared" si="0"/>
        <v>0.80373690381633189</v>
      </c>
      <c r="K16" s="380">
        <f t="shared" si="1"/>
        <v>57.004872955099202</v>
      </c>
      <c r="L16" s="380">
        <f t="shared" si="2"/>
        <v>507.85147020215283</v>
      </c>
      <c r="M16" s="380">
        <f t="shared" si="3"/>
        <v>416.7933874343185</v>
      </c>
      <c r="N16" s="380">
        <f t="shared" si="4"/>
        <v>614.1127186472653</v>
      </c>
      <c r="O16" s="380">
        <f t="shared" si="5"/>
        <v>824.66154124925583</v>
      </c>
      <c r="P16" s="380">
        <f t="shared" si="6"/>
        <v>930.42751908189018</v>
      </c>
    </row>
    <row r="17" spans="1:16" ht="15.75">
      <c r="A17" s="424">
        <v>11</v>
      </c>
      <c r="B17" s="425" t="s">
        <v>22</v>
      </c>
      <c r="C17" s="380">
        <v>1103.1099999999997</v>
      </c>
      <c r="D17" s="380">
        <v>1424.58</v>
      </c>
      <c r="E17" s="380">
        <v>1721.75</v>
      </c>
      <c r="F17" s="380">
        <v>1733.9999999999998</v>
      </c>
      <c r="G17" s="380">
        <v>2877.5</v>
      </c>
      <c r="H17" s="380">
        <v>4876.33</v>
      </c>
      <c r="I17" s="380">
        <v>4917.4799999999996</v>
      </c>
      <c r="J17" s="380">
        <f t="shared" si="0"/>
        <v>1043.0708423162748</v>
      </c>
      <c r="K17" s="380">
        <f t="shared" si="1"/>
        <v>1239.6275670031325</v>
      </c>
      <c r="L17" s="380">
        <f t="shared" si="2"/>
        <v>1412.5672748752954</v>
      </c>
      <c r="M17" s="380">
        <f t="shared" si="3"/>
        <v>1305.3493729203992</v>
      </c>
      <c r="N17" s="380">
        <f t="shared" si="4"/>
        <v>1995.7414933902983</v>
      </c>
      <c r="O17" s="380">
        <f t="shared" si="5"/>
        <v>3155.7104398022316</v>
      </c>
      <c r="P17" s="380">
        <f t="shared" si="6"/>
        <v>2976.5206496014134</v>
      </c>
    </row>
    <row r="18" spans="1:16" ht="15.75">
      <c r="A18" s="421"/>
      <c r="B18" s="422" t="s">
        <v>229</v>
      </c>
      <c r="C18" s="384">
        <f t="shared" ref="C18:P18" si="7">SUM(C7:C17)</f>
        <v>7010.93</v>
      </c>
      <c r="D18" s="384">
        <f t="shared" si="7"/>
        <v>10034.040000000001</v>
      </c>
      <c r="E18" s="384">
        <f t="shared" si="7"/>
        <v>11912.49</v>
      </c>
      <c r="F18" s="384">
        <f t="shared" si="7"/>
        <v>13085.970000000001</v>
      </c>
      <c r="G18" s="384">
        <f t="shared" si="7"/>
        <v>6377.8900000000012</v>
      </c>
      <c r="H18" s="384">
        <f t="shared" si="7"/>
        <v>12173.990000000002</v>
      </c>
      <c r="I18" s="384">
        <f t="shared" si="7"/>
        <v>26176.089999999997</v>
      </c>
      <c r="J18" s="384">
        <f t="shared" si="7"/>
        <v>6629.3449071447485</v>
      </c>
      <c r="K18" s="384">
        <f t="shared" si="7"/>
        <v>8731.3261399234234</v>
      </c>
      <c r="L18" s="384">
        <f t="shared" si="7"/>
        <v>9773.3082830139138</v>
      </c>
      <c r="M18" s="384">
        <f t="shared" si="7"/>
        <v>9851.0742408045917</v>
      </c>
      <c r="N18" s="384">
        <f t="shared" si="7"/>
        <v>4423.4994659527547</v>
      </c>
      <c r="O18" s="384">
        <f t="shared" si="7"/>
        <v>7878.3813517641265</v>
      </c>
      <c r="P18" s="384">
        <f t="shared" si="7"/>
        <v>15844.227614718322</v>
      </c>
    </row>
    <row r="19" spans="1:16" ht="15.75">
      <c r="A19" s="421" t="s">
        <v>230</v>
      </c>
      <c r="B19" s="422" t="s">
        <v>310</v>
      </c>
      <c r="C19" s="377"/>
      <c r="D19" s="377"/>
      <c r="E19" s="377"/>
      <c r="F19" s="377"/>
      <c r="G19" s="377"/>
      <c r="H19" s="377"/>
      <c r="I19" s="377"/>
      <c r="J19" s="377"/>
      <c r="K19" s="377"/>
      <c r="L19" s="377"/>
      <c r="M19" s="377"/>
      <c r="N19" s="377"/>
      <c r="O19" s="377"/>
      <c r="P19" s="377"/>
    </row>
    <row r="20" spans="1:16" ht="15.75">
      <c r="A20" s="424">
        <v>1</v>
      </c>
      <c r="B20" s="425" t="s">
        <v>25</v>
      </c>
      <c r="C20" s="380">
        <v>6987.28</v>
      </c>
      <c r="D20" s="380">
        <v>11028.79</v>
      </c>
      <c r="E20" s="380">
        <v>14394.47</v>
      </c>
      <c r="F20" s="380">
        <v>12403.96</v>
      </c>
      <c r="G20" s="380">
        <v>17924</v>
      </c>
      <c r="H20" s="380">
        <v>30276.99</v>
      </c>
      <c r="I20" s="380">
        <v>34495.919999999998</v>
      </c>
      <c r="J20" s="380">
        <f t="shared" ref="J20:J36" si="8">+C20/C$46</f>
        <v>6606.9821097620934</v>
      </c>
      <c r="K20" s="380">
        <f t="shared" ref="K20:K36" si="9">+D20/D$46</f>
        <v>9596.9282979463987</v>
      </c>
      <c r="L20" s="380">
        <f t="shared" ref="L20:L36" si="10">+E20/E$46</f>
        <v>11809.587490154896</v>
      </c>
      <c r="M20" s="380">
        <f t="shared" ref="M20:M36" si="11">+F20/F$46</f>
        <v>9337.6594046884184</v>
      </c>
      <c r="N20" s="380">
        <f t="shared" ref="N20:N36" si="12">+G20/G$46</f>
        <v>12431.510174640383</v>
      </c>
      <c r="O20" s="380">
        <f t="shared" ref="O20:O36" si="13">+H20/H$46</f>
        <v>19593.713597887709</v>
      </c>
      <c r="P20" s="380">
        <f t="shared" ref="P20:P36" si="14">+I20/I$46</f>
        <v>20880.169966527246</v>
      </c>
    </row>
    <row r="21" spans="1:16" ht="15.75">
      <c r="A21" s="424">
        <v>2</v>
      </c>
      <c r="B21" s="425" t="s">
        <v>26</v>
      </c>
      <c r="C21" s="380">
        <v>1854.11</v>
      </c>
      <c r="D21" s="380">
        <v>4520.78</v>
      </c>
      <c r="E21" s="380">
        <v>3940.84</v>
      </c>
      <c r="F21" s="380">
        <v>4160.91</v>
      </c>
      <c r="G21" s="380">
        <v>4836.2300000000005</v>
      </c>
      <c r="H21" s="380">
        <v>10399.39</v>
      </c>
      <c r="I21" s="380">
        <v>12546.73</v>
      </c>
      <c r="J21" s="380">
        <f t="shared" si="8"/>
        <v>1753.1960361587048</v>
      </c>
      <c r="K21" s="380">
        <f t="shared" si="9"/>
        <v>3933.8496345283675</v>
      </c>
      <c r="L21" s="380">
        <f t="shared" si="10"/>
        <v>3233.1648726699923</v>
      </c>
      <c r="M21" s="380">
        <f t="shared" si="11"/>
        <v>3132.3190653276924</v>
      </c>
      <c r="N21" s="380">
        <f t="shared" si="12"/>
        <v>3354.2536516347395</v>
      </c>
      <c r="O21" s="380">
        <f t="shared" si="13"/>
        <v>6729.9513344205434</v>
      </c>
      <c r="P21" s="380">
        <f t="shared" si="14"/>
        <v>7594.4591396352498</v>
      </c>
    </row>
    <row r="22" spans="1:16" ht="15.75">
      <c r="A22" s="424">
        <v>3</v>
      </c>
      <c r="B22" s="425" t="s">
        <v>27</v>
      </c>
      <c r="C22" s="380">
        <v>-247.00000000000003</v>
      </c>
      <c r="D22" s="380">
        <v>-64.449999999999989</v>
      </c>
      <c r="E22" s="380">
        <v>898.6</v>
      </c>
      <c r="F22" s="380">
        <v>2623.09</v>
      </c>
      <c r="G22" s="380">
        <v>1251.76</v>
      </c>
      <c r="H22" s="380">
        <v>5165.8900000000003</v>
      </c>
      <c r="I22" s="380">
        <v>6543.14</v>
      </c>
      <c r="J22" s="380">
        <f t="shared" si="8"/>
        <v>-233.55648852074589</v>
      </c>
      <c r="K22" s="380">
        <f t="shared" si="9"/>
        <v>-56.082492168465009</v>
      </c>
      <c r="L22" s="380">
        <f t="shared" si="10"/>
        <v>737.2341822000526</v>
      </c>
      <c r="M22" s="380">
        <f t="shared" si="11"/>
        <v>1974.6533371475032</v>
      </c>
      <c r="N22" s="380">
        <f t="shared" si="12"/>
        <v>868.18049409773755</v>
      </c>
      <c r="O22" s="380">
        <f t="shared" si="13"/>
        <v>3343.0988066578657</v>
      </c>
      <c r="P22" s="380">
        <f t="shared" si="14"/>
        <v>3960.5227318124316</v>
      </c>
    </row>
    <row r="23" spans="1:16" ht="15.75">
      <c r="A23" s="424">
        <v>4</v>
      </c>
      <c r="B23" s="425" t="s">
        <v>28</v>
      </c>
      <c r="C23" s="380">
        <v>546.04</v>
      </c>
      <c r="D23" s="380">
        <v>710.15999999999985</v>
      </c>
      <c r="E23" s="380">
        <v>832.90000000000009</v>
      </c>
      <c r="F23" s="380">
        <v>968.82000000000016</v>
      </c>
      <c r="G23" s="380">
        <v>1025.2</v>
      </c>
      <c r="H23" s="380">
        <v>1357.17</v>
      </c>
      <c r="I23" s="380">
        <v>1987.5</v>
      </c>
      <c r="J23" s="380">
        <f t="shared" si="8"/>
        <v>516.32058701161156</v>
      </c>
      <c r="K23" s="380">
        <f t="shared" si="9"/>
        <v>617.96032022276358</v>
      </c>
      <c r="L23" s="380">
        <f t="shared" si="10"/>
        <v>683.33223943292217</v>
      </c>
      <c r="M23" s="380">
        <f t="shared" si="11"/>
        <v>729.32444029569865</v>
      </c>
      <c r="N23" s="380">
        <f t="shared" si="12"/>
        <v>711.04576160685804</v>
      </c>
      <c r="O23" s="380">
        <f t="shared" si="13"/>
        <v>878.29075095130861</v>
      </c>
      <c r="P23" s="380">
        <f t="shared" si="14"/>
        <v>1203.0216271510631</v>
      </c>
    </row>
    <row r="24" spans="1:16" ht="15.75">
      <c r="A24" s="424">
        <v>5</v>
      </c>
      <c r="B24" s="425" t="s">
        <v>29</v>
      </c>
      <c r="C24" s="380">
        <v>7041.4699999999993</v>
      </c>
      <c r="D24" s="380">
        <v>7947.1500000000015</v>
      </c>
      <c r="E24" s="380">
        <v>11678.87</v>
      </c>
      <c r="F24" s="380">
        <v>14497.84</v>
      </c>
      <c r="G24" s="380">
        <v>18092.54</v>
      </c>
      <c r="H24" s="380">
        <v>23148.47</v>
      </c>
      <c r="I24" s="380">
        <v>25932.21</v>
      </c>
      <c r="J24" s="380">
        <f t="shared" si="8"/>
        <v>6658.2227013124539</v>
      </c>
      <c r="K24" s="380">
        <f t="shared" si="9"/>
        <v>6915.3759136790823</v>
      </c>
      <c r="L24" s="380">
        <f t="shared" si="10"/>
        <v>9581.6405224468381</v>
      </c>
      <c r="M24" s="380">
        <f t="shared" si="11"/>
        <v>10913.925232237765</v>
      </c>
      <c r="N24" s="380">
        <f t="shared" si="12"/>
        <v>12548.40410037314</v>
      </c>
      <c r="O24" s="380">
        <f t="shared" si="13"/>
        <v>14980.501410784087</v>
      </c>
      <c r="P24" s="380">
        <f t="shared" si="14"/>
        <v>15696.608538275759</v>
      </c>
    </row>
    <row r="25" spans="1:16" ht="15.75">
      <c r="A25" s="424">
        <v>6</v>
      </c>
      <c r="B25" s="425" t="s">
        <v>30</v>
      </c>
      <c r="C25" s="380">
        <v>564.94000000000005</v>
      </c>
      <c r="D25" s="380">
        <v>3328.7700000000004</v>
      </c>
      <c r="E25" s="380">
        <v>5887.7999999999993</v>
      </c>
      <c r="F25" s="380">
        <v>6669.13</v>
      </c>
      <c r="G25" s="380">
        <v>8161.9999999999991</v>
      </c>
      <c r="H25" s="380">
        <v>12890.85</v>
      </c>
      <c r="I25" s="380">
        <v>15943.19</v>
      </c>
      <c r="J25" s="380">
        <f t="shared" si="8"/>
        <v>534.19191346117475</v>
      </c>
      <c r="K25" s="380">
        <f t="shared" si="9"/>
        <v>2896.5976331360953</v>
      </c>
      <c r="L25" s="380">
        <f t="shared" si="10"/>
        <v>4830.5001312680488</v>
      </c>
      <c r="M25" s="380">
        <f t="shared" si="11"/>
        <v>5020.4986524940159</v>
      </c>
      <c r="N25" s="380">
        <f t="shared" si="12"/>
        <v>5660.9008059258431</v>
      </c>
      <c r="O25" s="380">
        <f t="shared" si="13"/>
        <v>8342.296342315758</v>
      </c>
      <c r="P25" s="380">
        <f t="shared" si="14"/>
        <v>9650.3156607690871</v>
      </c>
    </row>
    <row r="26" spans="1:16" ht="15.75">
      <c r="A26" s="424">
        <v>7</v>
      </c>
      <c r="B26" s="425" t="s">
        <v>31</v>
      </c>
      <c r="C26" s="380">
        <v>1330.8199999999997</v>
      </c>
      <c r="D26" s="380">
        <v>1738.8700000000001</v>
      </c>
      <c r="E26" s="380">
        <v>2461.62</v>
      </c>
      <c r="F26" s="380">
        <v>1193.1261</v>
      </c>
      <c r="G26" s="380">
        <v>3284.6</v>
      </c>
      <c r="H26" s="380">
        <v>5730.47</v>
      </c>
      <c r="I26" s="380">
        <v>7178.82</v>
      </c>
      <c r="J26" s="380">
        <f t="shared" si="8"/>
        <v>1258.3872309845301</v>
      </c>
      <c r="K26" s="380">
        <f t="shared" si="9"/>
        <v>1513.1134702401671</v>
      </c>
      <c r="L26" s="380">
        <f t="shared" si="10"/>
        <v>2019.5753478603308</v>
      </c>
      <c r="M26" s="380">
        <f t="shared" si="11"/>
        <v>898.18131859859386</v>
      </c>
      <c r="N26" s="380">
        <f t="shared" si="12"/>
        <v>2278.0929658348473</v>
      </c>
      <c r="O26" s="380">
        <f t="shared" si="13"/>
        <v>3708.4659988092467</v>
      </c>
      <c r="P26" s="380">
        <f t="shared" si="14"/>
        <v>4345.2959584526261</v>
      </c>
    </row>
    <row r="27" spans="1:16" ht="15.75">
      <c r="A27" s="424">
        <v>8</v>
      </c>
      <c r="B27" s="425" t="s">
        <v>32</v>
      </c>
      <c r="C27" s="380">
        <v>1761.5972080000004</v>
      </c>
      <c r="D27" s="380">
        <v>7990.5038658599997</v>
      </c>
      <c r="E27" s="380">
        <v>7150.0006696499986</v>
      </c>
      <c r="F27" s="380">
        <v>1037.2460967</v>
      </c>
      <c r="G27" s="380">
        <v>12718.67</v>
      </c>
      <c r="H27" s="380">
        <v>17585.439999999999</v>
      </c>
      <c r="I27" s="380">
        <v>23600.29</v>
      </c>
      <c r="J27" s="380">
        <f t="shared" si="8"/>
        <v>1665.7184537993119</v>
      </c>
      <c r="K27" s="380">
        <f t="shared" si="9"/>
        <v>6953.1011711277406</v>
      </c>
      <c r="L27" s="380">
        <f t="shared" si="10"/>
        <v>5866.0415050292058</v>
      </c>
      <c r="M27" s="380">
        <f t="shared" si="11"/>
        <v>780.83537594664176</v>
      </c>
      <c r="N27" s="380">
        <f t="shared" si="12"/>
        <v>8821.2606289273281</v>
      </c>
      <c r="O27" s="380">
        <f t="shared" si="13"/>
        <v>11380.393984106029</v>
      </c>
      <c r="P27" s="380">
        <f t="shared" si="14"/>
        <v>14285.111585930548</v>
      </c>
    </row>
    <row r="28" spans="1:16" ht="15.75">
      <c r="A28" s="424">
        <v>9</v>
      </c>
      <c r="B28" s="425" t="s">
        <v>33</v>
      </c>
      <c r="C28" s="380">
        <v>5239.7400000000016</v>
      </c>
      <c r="D28" s="380">
        <v>6478.36</v>
      </c>
      <c r="E28" s="380">
        <v>5724.0599999999995</v>
      </c>
      <c r="F28" s="380">
        <v>6565.5999999999995</v>
      </c>
      <c r="G28" s="380">
        <v>9766.369999999999</v>
      </c>
      <c r="H28" s="380">
        <v>18981.810000000001</v>
      </c>
      <c r="I28" s="380">
        <v>20336.080000000002</v>
      </c>
      <c r="J28" s="380">
        <f t="shared" si="8"/>
        <v>4954.5557698853981</v>
      </c>
      <c r="K28" s="380">
        <f t="shared" si="9"/>
        <v>5637.2781065088757</v>
      </c>
      <c r="L28" s="380">
        <f t="shared" si="10"/>
        <v>4696.1636912575477</v>
      </c>
      <c r="M28" s="380">
        <f t="shared" si="11"/>
        <v>4942.5616164049443</v>
      </c>
      <c r="N28" s="380">
        <f t="shared" si="12"/>
        <v>6773.6402602266571</v>
      </c>
      <c r="O28" s="380">
        <f t="shared" si="13"/>
        <v>12284.05296264658</v>
      </c>
      <c r="P28" s="380">
        <f t="shared" si="14"/>
        <v>12309.30518313167</v>
      </c>
    </row>
    <row r="29" spans="1:16" ht="15.75">
      <c r="A29" s="424">
        <v>10</v>
      </c>
      <c r="B29" s="425" t="s">
        <v>34</v>
      </c>
      <c r="C29" s="380">
        <v>1757.13</v>
      </c>
      <c r="D29" s="380">
        <v>4744.6400000000003</v>
      </c>
      <c r="E29" s="380">
        <v>6612.5</v>
      </c>
      <c r="F29" s="380">
        <v>5469.77</v>
      </c>
      <c r="G29" s="380">
        <v>7982.55</v>
      </c>
      <c r="H29" s="380">
        <v>13267.05</v>
      </c>
      <c r="I29" s="380">
        <v>16829.91</v>
      </c>
      <c r="J29" s="380">
        <f t="shared" si="8"/>
        <v>1661.4943832974016</v>
      </c>
      <c r="K29" s="380">
        <f t="shared" si="9"/>
        <v>4128.6460146188656</v>
      </c>
      <c r="L29" s="380">
        <f t="shared" si="10"/>
        <v>5425.0623523234444</v>
      </c>
      <c r="M29" s="380">
        <f t="shared" si="11"/>
        <v>4117.6244749243442</v>
      </c>
      <c r="N29" s="380">
        <f t="shared" si="12"/>
        <v>5536.4400549305738</v>
      </c>
      <c r="O29" s="380">
        <f t="shared" si="13"/>
        <v>8585.7536693329184</v>
      </c>
      <c r="P29" s="380">
        <f t="shared" si="14"/>
        <v>10187.041868179094</v>
      </c>
    </row>
    <row r="30" spans="1:16" ht="15.75">
      <c r="A30" s="424">
        <v>11</v>
      </c>
      <c r="B30" s="425" t="s">
        <v>35</v>
      </c>
      <c r="C30" s="380">
        <v>10081.5</v>
      </c>
      <c r="D30" s="380">
        <v>18549.93</v>
      </c>
      <c r="E30" s="380">
        <v>20686.969999999998</v>
      </c>
      <c r="F30" s="380">
        <v>25430</v>
      </c>
      <c r="G30" s="380">
        <v>21009.519999999997</v>
      </c>
      <c r="H30" s="380">
        <v>31578.85</v>
      </c>
      <c r="I30" s="380">
        <v>40352.5</v>
      </c>
      <c r="J30" s="380">
        <f t="shared" si="8"/>
        <v>9532.7924656757059</v>
      </c>
      <c r="K30" s="380">
        <f t="shared" si="9"/>
        <v>16141.602854159415</v>
      </c>
      <c r="L30" s="380">
        <f t="shared" si="10"/>
        <v>16972.113743764767</v>
      </c>
      <c r="M30" s="380">
        <f t="shared" si="11"/>
        <v>19143.618542886827</v>
      </c>
      <c r="N30" s="380">
        <f t="shared" si="12"/>
        <v>14571.527652550245</v>
      </c>
      <c r="O30" s="380">
        <f t="shared" si="13"/>
        <v>20436.210556288992</v>
      </c>
      <c r="P30" s="380">
        <f t="shared" si="14"/>
        <v>24425.122118044415</v>
      </c>
    </row>
    <row r="31" spans="1:16" ht="15.75">
      <c r="A31" s="424">
        <v>12</v>
      </c>
      <c r="B31" s="425" t="s">
        <v>74</v>
      </c>
      <c r="C31" s="380">
        <v>-976.07370000000014</v>
      </c>
      <c r="D31" s="380">
        <v>116.83999999999992</v>
      </c>
      <c r="E31" s="380">
        <v>1278.01</v>
      </c>
      <c r="F31" s="380">
        <v>1406.8699999999994</v>
      </c>
      <c r="G31" s="380">
        <v>3845.75</v>
      </c>
      <c r="H31" s="380">
        <v>6858.89</v>
      </c>
      <c r="I31" s="380">
        <v>10057.58</v>
      </c>
      <c r="J31" s="380">
        <f t="shared" si="8"/>
        <v>-922.94876886417796</v>
      </c>
      <c r="K31" s="380">
        <f t="shared" si="9"/>
        <v>101.67072746258259</v>
      </c>
      <c r="L31" s="380">
        <f t="shared" si="10"/>
        <v>1048.5117484904174</v>
      </c>
      <c r="M31" s="380">
        <f t="shared" si="11"/>
        <v>1059.0870082355948</v>
      </c>
      <c r="N31" s="380">
        <f t="shared" si="12"/>
        <v>2667.2885658403961</v>
      </c>
      <c r="O31" s="380">
        <f t="shared" si="13"/>
        <v>4438.7214931013959</v>
      </c>
      <c r="P31" s="380">
        <f t="shared" si="14"/>
        <v>6087.7918273217556</v>
      </c>
    </row>
    <row r="32" spans="1:16" ht="15.75">
      <c r="A32" s="424">
        <v>13</v>
      </c>
      <c r="B32" s="425" t="s">
        <v>36</v>
      </c>
      <c r="C32" s="380">
        <v>4657.8599999999988</v>
      </c>
      <c r="D32" s="380">
        <v>6313.75</v>
      </c>
      <c r="E32" s="380">
        <v>6196.07</v>
      </c>
      <c r="F32" s="380">
        <v>6134.07</v>
      </c>
      <c r="G32" s="380">
        <v>8923</v>
      </c>
      <c r="H32" s="380">
        <v>14881.17</v>
      </c>
      <c r="I32" s="380">
        <v>14765.53</v>
      </c>
      <c r="J32" s="380">
        <f t="shared" si="8"/>
        <v>4404.3458527175753</v>
      </c>
      <c r="K32" s="380">
        <f t="shared" si="9"/>
        <v>5494.0393317090147</v>
      </c>
      <c r="L32" s="380">
        <f t="shared" si="10"/>
        <v>5083.4126411131529</v>
      </c>
      <c r="M32" s="380">
        <f t="shared" si="11"/>
        <v>4617.7072825546911</v>
      </c>
      <c r="N32" s="380">
        <f t="shared" si="12"/>
        <v>6188.7059411022174</v>
      </c>
      <c r="O32" s="380">
        <f t="shared" si="13"/>
        <v>9630.3292692397299</v>
      </c>
      <c r="P32" s="380">
        <f t="shared" si="14"/>
        <v>8937.4852459611757</v>
      </c>
    </row>
    <row r="33" spans="1:16" ht="15.75">
      <c r="A33" s="424">
        <v>14</v>
      </c>
      <c r="B33" s="425" t="s">
        <v>37</v>
      </c>
      <c r="C33" s="380">
        <v>4335.1000000000004</v>
      </c>
      <c r="D33" s="380">
        <v>6417.24</v>
      </c>
      <c r="E33" s="380">
        <v>7952.130000000001</v>
      </c>
      <c r="F33" s="380">
        <v>7501.0999999999995</v>
      </c>
      <c r="G33" s="380">
        <v>8119.15</v>
      </c>
      <c r="H33" s="380">
        <v>19572.89</v>
      </c>
      <c r="I33" s="380">
        <v>21407.41</v>
      </c>
      <c r="J33" s="380">
        <f t="shared" si="8"/>
        <v>4099.152766746095</v>
      </c>
      <c r="K33" s="380">
        <f t="shared" si="9"/>
        <v>5584.0932822833274</v>
      </c>
      <c r="L33" s="380">
        <f t="shared" si="10"/>
        <v>6524.1287083223951</v>
      </c>
      <c r="M33" s="380">
        <f t="shared" si="11"/>
        <v>5646.8028726719767</v>
      </c>
      <c r="N33" s="380">
        <f t="shared" si="12"/>
        <v>5631.181423478658</v>
      </c>
      <c r="O33" s="380">
        <f t="shared" si="13"/>
        <v>12666.569594367218</v>
      </c>
      <c r="P33" s="380">
        <f t="shared" si="14"/>
        <v>12957.774697504372</v>
      </c>
    </row>
    <row r="34" spans="1:16" ht="15.75">
      <c r="A34" s="424">
        <v>15</v>
      </c>
      <c r="B34" s="425" t="s">
        <v>38</v>
      </c>
      <c r="C34" s="380">
        <v>4461.9399999999996</v>
      </c>
      <c r="D34" s="380">
        <v>10194.82</v>
      </c>
      <c r="E34" s="380">
        <v>14060.24</v>
      </c>
      <c r="F34" s="380">
        <v>12453.07</v>
      </c>
      <c r="G34" s="380">
        <v>22243.66</v>
      </c>
      <c r="H34" s="380">
        <v>29811.11</v>
      </c>
      <c r="I34" s="380">
        <v>35583.33</v>
      </c>
      <c r="J34" s="380">
        <f t="shared" si="8"/>
        <v>4219.0892242520513</v>
      </c>
      <c r="K34" s="380">
        <f t="shared" si="9"/>
        <v>8871.2321615036544</v>
      </c>
      <c r="L34" s="380">
        <f t="shared" si="10"/>
        <v>11535.376739301653</v>
      </c>
      <c r="M34" s="380">
        <f t="shared" si="11"/>
        <v>9374.6292476550389</v>
      </c>
      <c r="N34" s="380">
        <f t="shared" si="12"/>
        <v>15427.487481100276</v>
      </c>
      <c r="O34" s="380">
        <f t="shared" si="13"/>
        <v>19292.219978773526</v>
      </c>
      <c r="P34" s="380">
        <f t="shared" si="14"/>
        <v>21538.372606819241</v>
      </c>
    </row>
    <row r="35" spans="1:16" ht="15.75">
      <c r="A35" s="424">
        <v>16</v>
      </c>
      <c r="B35" s="425" t="s">
        <v>39</v>
      </c>
      <c r="C35" s="380">
        <v>4313.8200000000006</v>
      </c>
      <c r="D35" s="380">
        <v>12165.350000000002</v>
      </c>
      <c r="E35" s="380">
        <v>18687.720000000005</v>
      </c>
      <c r="F35" s="380">
        <v>16466</v>
      </c>
      <c r="G35" s="380">
        <v>28878.34</v>
      </c>
      <c r="H35" s="380">
        <v>25859.53</v>
      </c>
      <c r="I35" s="380">
        <v>37461.519999999997</v>
      </c>
      <c r="J35" s="380">
        <f t="shared" si="8"/>
        <v>4079.0309769658461</v>
      </c>
      <c r="K35" s="380">
        <f t="shared" si="9"/>
        <v>10585.929342151063</v>
      </c>
      <c r="L35" s="380">
        <f t="shared" si="10"/>
        <v>15331.8784457863</v>
      </c>
      <c r="M35" s="380">
        <f t="shared" si="11"/>
        <v>12395.549466267184</v>
      </c>
      <c r="N35" s="380">
        <f t="shared" si="12"/>
        <v>20029.088235702096</v>
      </c>
      <c r="O35" s="380">
        <f t="shared" si="13"/>
        <v>16734.960265072092</v>
      </c>
      <c r="P35" s="380">
        <f t="shared" si="14"/>
        <v>22675.229557711744</v>
      </c>
    </row>
    <row r="36" spans="1:16" ht="15.75">
      <c r="A36" s="424">
        <v>17</v>
      </c>
      <c r="B36" s="425" t="s">
        <v>40</v>
      </c>
      <c r="C36" s="380">
        <v>11275.630000000001</v>
      </c>
      <c r="D36" s="380">
        <v>11702.939999999999</v>
      </c>
      <c r="E36" s="380">
        <v>21589.62</v>
      </c>
      <c r="F36" s="380">
        <v>18902.45</v>
      </c>
      <c r="G36" s="380">
        <v>17828.000000000004</v>
      </c>
      <c r="H36" s="380">
        <v>29268.19</v>
      </c>
      <c r="I36" s="380">
        <v>32476.54</v>
      </c>
      <c r="J36" s="380">
        <f t="shared" si="8"/>
        <v>10661.929346798292</v>
      </c>
      <c r="K36" s="380">
        <f t="shared" si="9"/>
        <v>10183.5537765402</v>
      </c>
      <c r="L36" s="380">
        <f t="shared" si="10"/>
        <v>17712.670648464162</v>
      </c>
      <c r="M36" s="380">
        <f t="shared" si="11"/>
        <v>14229.700838615458</v>
      </c>
      <c r="N36" s="380">
        <f t="shared" si="12"/>
        <v>12364.927660873065</v>
      </c>
      <c r="O36" s="380">
        <f t="shared" si="13"/>
        <v>18940.870026662524</v>
      </c>
      <c r="P36" s="380">
        <f t="shared" si="14"/>
        <v>19657.851569829731</v>
      </c>
    </row>
    <row r="37" spans="1:16" ht="15.75">
      <c r="A37" s="421"/>
      <c r="B37" s="422" t="s">
        <v>192</v>
      </c>
      <c r="C37" s="384">
        <f t="shared" ref="C37:P37" si="15">SUM(C20:C36)</f>
        <v>64985.903508000003</v>
      </c>
      <c r="D37" s="384">
        <f t="shared" si="15"/>
        <v>113884.44386586</v>
      </c>
      <c r="E37" s="384">
        <f t="shared" si="15"/>
        <v>150032.42066965002</v>
      </c>
      <c r="F37" s="384">
        <f t="shared" si="15"/>
        <v>143883.05219670001</v>
      </c>
      <c r="G37" s="384">
        <f t="shared" si="15"/>
        <v>195891.34</v>
      </c>
      <c r="H37" s="384">
        <f t="shared" si="15"/>
        <v>296634.15999999997</v>
      </c>
      <c r="I37" s="384">
        <f t="shared" si="15"/>
        <v>357498.2</v>
      </c>
      <c r="J37" s="384">
        <f t="shared" si="15"/>
        <v>61448.904561443334</v>
      </c>
      <c r="K37" s="384">
        <f t="shared" si="15"/>
        <v>99098.889545649145</v>
      </c>
      <c r="L37" s="384">
        <f t="shared" si="15"/>
        <v>123090.39500988614</v>
      </c>
      <c r="M37" s="384">
        <f t="shared" si="15"/>
        <v>108314.6781769524</v>
      </c>
      <c r="N37" s="384">
        <f t="shared" si="15"/>
        <v>135863.93585884507</v>
      </c>
      <c r="O37" s="384">
        <f t="shared" si="15"/>
        <v>191966.40004141757</v>
      </c>
      <c r="P37" s="384">
        <f t="shared" si="15"/>
        <v>216391.47988305721</v>
      </c>
    </row>
    <row r="38" spans="1:16" ht="15.75">
      <c r="A38" s="421"/>
      <c r="B38" s="422" t="s">
        <v>86</v>
      </c>
      <c r="C38" s="384">
        <f t="shared" ref="C38:P38" si="16">C37+C18</f>
        <v>71996.833508000011</v>
      </c>
      <c r="D38" s="384">
        <f t="shared" si="16"/>
        <v>123918.48386586001</v>
      </c>
      <c r="E38" s="384">
        <f t="shared" si="16"/>
        <v>161944.91066965001</v>
      </c>
      <c r="F38" s="384">
        <f t="shared" si="16"/>
        <v>156969.02219670001</v>
      </c>
      <c r="G38" s="384">
        <f t="shared" si="16"/>
        <v>202269.23</v>
      </c>
      <c r="H38" s="384">
        <f t="shared" si="16"/>
        <v>308808.14999999997</v>
      </c>
      <c r="I38" s="384">
        <f t="shared" si="16"/>
        <v>383674.29000000004</v>
      </c>
      <c r="J38" s="384">
        <f t="shared" si="16"/>
        <v>68078.249468588081</v>
      </c>
      <c r="K38" s="384">
        <f t="shared" si="16"/>
        <v>107830.21568557256</v>
      </c>
      <c r="L38" s="384">
        <f t="shared" si="16"/>
        <v>132863.70329290006</v>
      </c>
      <c r="M38" s="384">
        <f t="shared" si="16"/>
        <v>118165.75241775699</v>
      </c>
      <c r="N38" s="384">
        <f t="shared" si="16"/>
        <v>140287.43532479781</v>
      </c>
      <c r="O38" s="384">
        <f t="shared" si="16"/>
        <v>199844.78139318171</v>
      </c>
      <c r="P38" s="384">
        <f t="shared" si="16"/>
        <v>232235.70749777553</v>
      </c>
    </row>
    <row r="39" spans="1:16" ht="15.75">
      <c r="A39" s="421" t="s">
        <v>231</v>
      </c>
      <c r="B39" s="422" t="s">
        <v>244</v>
      </c>
      <c r="C39" s="384"/>
      <c r="D39" s="384"/>
      <c r="E39" s="384"/>
      <c r="F39" s="384"/>
      <c r="G39" s="384"/>
      <c r="H39" s="384"/>
      <c r="I39" s="384"/>
      <c r="J39" s="384"/>
      <c r="K39" s="384"/>
      <c r="L39" s="384"/>
      <c r="M39" s="384"/>
      <c r="N39" s="384"/>
      <c r="O39" s="384"/>
      <c r="P39" s="384"/>
    </row>
    <row r="40" spans="1:16" ht="15.75">
      <c r="A40" s="424">
        <v>1</v>
      </c>
      <c r="B40" s="425" t="s">
        <v>233</v>
      </c>
      <c r="C40" s="380">
        <v>-229.06999999999994</v>
      </c>
      <c r="D40" s="380">
        <v>42.710000000000036</v>
      </c>
      <c r="E40" s="380">
        <v>1162.53</v>
      </c>
      <c r="F40" s="380">
        <v>3498</v>
      </c>
      <c r="G40" s="380">
        <v>556.08000000000004</v>
      </c>
      <c r="H40" s="380">
        <v>567.41</v>
      </c>
      <c r="I40" s="380">
        <v>0</v>
      </c>
      <c r="J40" s="380">
        <f t="shared" ref="J40:P41" si="17">+C40/C$46</f>
        <v>-216.60236771436129</v>
      </c>
      <c r="K40" s="380">
        <f t="shared" si="17"/>
        <v>37.164984336930068</v>
      </c>
      <c r="L40" s="380">
        <f t="shared" si="17"/>
        <v>953.76903386715674</v>
      </c>
      <c r="M40" s="380">
        <f t="shared" si="17"/>
        <v>2633.2826450262728</v>
      </c>
      <c r="N40" s="380">
        <f t="shared" si="17"/>
        <v>385.67921099721184</v>
      </c>
      <c r="O40" s="380">
        <f t="shared" si="17"/>
        <v>367.19862286764516</v>
      </c>
      <c r="P40" s="380">
        <f t="shared" si="17"/>
        <v>0</v>
      </c>
    </row>
    <row r="41" spans="1:16" ht="15.75">
      <c r="A41" s="424">
        <v>2</v>
      </c>
      <c r="B41" s="425" t="s">
        <v>44</v>
      </c>
      <c r="C41" s="380">
        <v>353.19</v>
      </c>
      <c r="D41" s="380">
        <v>370.23</v>
      </c>
      <c r="E41" s="380">
        <v>765.27</v>
      </c>
      <c r="F41" s="380">
        <v>782.03</v>
      </c>
      <c r="G41" s="380">
        <v>890</v>
      </c>
      <c r="H41" s="380">
        <v>463.26</v>
      </c>
      <c r="I41" s="380">
        <v>741.8</v>
      </c>
      <c r="J41" s="380">
        <f t="shared" si="17"/>
        <v>333.96686712810617</v>
      </c>
      <c r="K41" s="380">
        <f t="shared" si="17"/>
        <v>322.16324399582322</v>
      </c>
      <c r="L41" s="380">
        <f t="shared" si="17"/>
        <v>627.84687582042534</v>
      </c>
      <c r="M41" s="380">
        <f t="shared" si="17"/>
        <v>588.70955600054208</v>
      </c>
      <c r="N41" s="380">
        <f t="shared" si="17"/>
        <v>617.27538805121299</v>
      </c>
      <c r="O41" s="380">
        <f t="shared" si="17"/>
        <v>299.79808961714684</v>
      </c>
      <c r="P41" s="380">
        <f t="shared" si="17"/>
        <v>449.00701535630623</v>
      </c>
    </row>
    <row r="42" spans="1:16" ht="15.75">
      <c r="A42" s="432"/>
      <c r="B42" s="428" t="s">
        <v>234</v>
      </c>
      <c r="C42" s="384">
        <f t="shared" ref="C42:P42" si="18">C40+C41</f>
        <v>124.12000000000006</v>
      </c>
      <c r="D42" s="384">
        <f t="shared" si="18"/>
        <v>412.94000000000005</v>
      </c>
      <c r="E42" s="384">
        <f t="shared" si="18"/>
        <v>1927.8</v>
      </c>
      <c r="F42" s="384">
        <f t="shared" si="18"/>
        <v>4280.03</v>
      </c>
      <c r="G42" s="384">
        <f t="shared" si="18"/>
        <v>1446.08</v>
      </c>
      <c r="H42" s="384">
        <f t="shared" si="18"/>
        <v>1030.67</v>
      </c>
      <c r="I42" s="384">
        <f t="shared" si="18"/>
        <v>741.8</v>
      </c>
      <c r="J42" s="384">
        <f t="shared" si="18"/>
        <v>117.36449941374488</v>
      </c>
      <c r="K42" s="384">
        <f t="shared" si="18"/>
        <v>359.32822833275327</v>
      </c>
      <c r="L42" s="384">
        <f t="shared" si="18"/>
        <v>1581.6159096875822</v>
      </c>
      <c r="M42" s="384">
        <f t="shared" si="18"/>
        <v>3221.9922010268147</v>
      </c>
      <c r="N42" s="384">
        <f t="shared" si="18"/>
        <v>1002.9545990484248</v>
      </c>
      <c r="O42" s="384">
        <f t="shared" si="18"/>
        <v>666.99671248479194</v>
      </c>
      <c r="P42" s="384">
        <f t="shared" si="18"/>
        <v>449.00701535630623</v>
      </c>
    </row>
    <row r="43" spans="1:16" ht="30.75">
      <c r="A43" s="433"/>
      <c r="B43" s="434" t="s">
        <v>235</v>
      </c>
      <c r="C43" s="384">
        <f t="shared" ref="C43:P43" si="19">C38+C42</f>
        <v>72120.953508000006</v>
      </c>
      <c r="D43" s="384">
        <f t="shared" si="19"/>
        <v>124331.42386586001</v>
      </c>
      <c r="E43" s="384">
        <f t="shared" si="19"/>
        <v>163872.71066965</v>
      </c>
      <c r="F43" s="384">
        <f t="shared" si="19"/>
        <v>161249.05219670001</v>
      </c>
      <c r="G43" s="384">
        <f t="shared" si="19"/>
        <v>203715.31</v>
      </c>
      <c r="H43" s="384">
        <f t="shared" si="19"/>
        <v>309838.81999999995</v>
      </c>
      <c r="I43" s="384">
        <f t="shared" si="19"/>
        <v>384416.09</v>
      </c>
      <c r="J43" s="384">
        <f t="shared" si="19"/>
        <v>68195.613968001824</v>
      </c>
      <c r="K43" s="384">
        <f t="shared" si="19"/>
        <v>108189.54391390532</v>
      </c>
      <c r="L43" s="384">
        <f t="shared" si="19"/>
        <v>134445.31920258765</v>
      </c>
      <c r="M43" s="384">
        <f t="shared" si="19"/>
        <v>121387.74461878381</v>
      </c>
      <c r="N43" s="384">
        <f t="shared" si="19"/>
        <v>141290.38992384623</v>
      </c>
      <c r="O43" s="384">
        <f t="shared" si="19"/>
        <v>200511.77810566651</v>
      </c>
      <c r="P43" s="384">
        <f t="shared" si="19"/>
        <v>232684.71451313182</v>
      </c>
    </row>
    <row r="44" spans="1:16">
      <c r="B44" s="545" t="s">
        <v>258</v>
      </c>
      <c r="C44" s="545"/>
      <c r="D44" s="545"/>
      <c r="E44" s="545"/>
      <c r="F44" s="545"/>
      <c r="G44" s="545"/>
      <c r="H44" s="545"/>
      <c r="I44" s="545"/>
      <c r="J44" s="545"/>
      <c r="K44" s="545"/>
      <c r="L44" s="545"/>
      <c r="M44" s="418"/>
      <c r="N44" s="418"/>
      <c r="O44" s="418"/>
    </row>
    <row r="45" spans="1:16" ht="15.75">
      <c r="C45" s="297" t="s">
        <v>48</v>
      </c>
      <c r="D45" s="297" t="s">
        <v>49</v>
      </c>
      <c r="E45" s="297" t="s">
        <v>5</v>
      </c>
      <c r="F45" s="297" t="s">
        <v>6</v>
      </c>
      <c r="G45" s="298" t="s">
        <v>7</v>
      </c>
      <c r="H45" s="299" t="s">
        <v>122</v>
      </c>
      <c r="I45" s="299" t="s">
        <v>139</v>
      </c>
      <c r="J45" s="418"/>
      <c r="K45" s="418"/>
      <c r="L45" s="418"/>
      <c r="M45" s="418"/>
      <c r="N45" s="418"/>
      <c r="O45" s="418"/>
    </row>
    <row r="46" spans="1:16" s="300" customFormat="1" ht="12.75">
      <c r="A46" s="387"/>
      <c r="B46" s="300" t="s">
        <v>216</v>
      </c>
      <c r="C46" s="301">
        <v>1.0575600000000001</v>
      </c>
      <c r="D46" s="301">
        <v>1.1492</v>
      </c>
      <c r="E46" s="301">
        <v>1.21888</v>
      </c>
      <c r="F46" s="301">
        <v>1.3283799999999999</v>
      </c>
      <c r="G46" s="301">
        <v>1.4418200000000001</v>
      </c>
      <c r="H46" s="302">
        <v>1.5452399999999999</v>
      </c>
      <c r="I46" s="302">
        <v>1.6520900000000001</v>
      </c>
      <c r="J46" s="301"/>
      <c r="K46" s="301"/>
      <c r="L46" s="301"/>
      <c r="M46" s="301"/>
      <c r="N46" s="301"/>
      <c r="O46" s="301"/>
    </row>
    <row r="47" spans="1:16">
      <c r="C47" s="301"/>
      <c r="D47" s="301"/>
      <c r="E47" s="301"/>
      <c r="F47" s="301"/>
      <c r="G47" s="301"/>
      <c r="H47" s="301"/>
      <c r="I47" s="301"/>
    </row>
  </sheetData>
  <mergeCells count="7">
    <mergeCell ref="B44:L44"/>
    <mergeCell ref="A1:P1"/>
    <mergeCell ref="O2:P2"/>
    <mergeCell ref="A3:A5"/>
    <mergeCell ref="B3:B5"/>
    <mergeCell ref="C3:I3"/>
    <mergeCell ref="J3:P3"/>
  </mergeCells>
  <phoneticPr fontId="42" type="noConversion"/>
  <printOptions horizontalCentered="1"/>
  <pageMargins left="0.23622047244094491" right="0.27559055118110237" top="0.78740157480314965" bottom="0.39370078740157483" header="0" footer="0"/>
  <pageSetup paperSize="9" scale="70" orientation="landscape" horizont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31</vt:i4>
      </vt:variant>
    </vt:vector>
  </HeadingPairs>
  <TitlesOfParts>
    <vt:vector size="65" baseType="lpstr">
      <vt:lpstr>Realization of Outlay 11th Plan</vt:lpstr>
      <vt:lpstr>Outlay % GSDP</vt:lpstr>
      <vt:lpstr>Aggregate Resources</vt:lpstr>
      <vt:lpstr>Aggregate As% of GSDP</vt:lpstr>
      <vt:lpstr>BCR</vt:lpstr>
      <vt:lpstr>BCR As %age of GSDP</vt:lpstr>
      <vt:lpstr>SOR</vt:lpstr>
      <vt:lpstr>SOR As%age of GSDP</vt:lpstr>
      <vt:lpstr>Borrowings</vt:lpstr>
      <vt:lpstr>Borrowings As %age of GSDP</vt:lpstr>
      <vt:lpstr>Central Assistance</vt:lpstr>
      <vt:lpstr>Central Asistant %age of GSDP</vt:lpstr>
      <vt:lpstr>PSEs</vt:lpstr>
      <vt:lpstr>Transfer to States</vt:lpstr>
      <vt:lpstr>SOTR (%GSDP)</vt:lpstr>
      <vt:lpstr>State Own Tax Revenues</vt:lpstr>
      <vt:lpstr>IP as % of TRR</vt:lpstr>
      <vt:lpstr>Revenue Deficit (%GSDP)</vt:lpstr>
      <vt:lpstr>Fiscal Deficit (%GSDP)</vt:lpstr>
      <vt:lpstr>Outstanding liabilities </vt:lpstr>
      <vt:lpstr>Salaries (% Plan Expenditure)</vt:lpstr>
      <vt:lpstr>Salaries (% Revenue Exp)</vt:lpstr>
      <vt:lpstr>Salaries (% Total Expenditure)</vt:lpstr>
      <vt:lpstr>Public Exp Ratio</vt:lpstr>
      <vt:lpstr>Social Allocation Ratio</vt:lpstr>
      <vt:lpstr>Plan Exp(%GSDP)</vt:lpstr>
      <vt:lpstr>Per Capita Plan Expenditure</vt:lpstr>
      <vt:lpstr>NON Plan Exp(%GSDP)</vt:lpstr>
      <vt:lpstr>Non Plan Exp Per Cap &amp; GSDP</vt:lpstr>
      <vt:lpstr>Per Capita Total Expenditure</vt:lpstr>
      <vt:lpstr>Per Capita GSDP </vt:lpstr>
      <vt:lpstr>Committed Exp Per Capita</vt:lpstr>
      <vt:lpstr>Worksheet Pension &amp; RE</vt:lpstr>
      <vt:lpstr>PP,IP,&amp; Total Expenditure</vt:lpstr>
      <vt:lpstr>'Aggregate As% of GSDP'!Print_Area</vt:lpstr>
      <vt:lpstr>'Aggregate Resources'!Print_Area</vt:lpstr>
      <vt:lpstr>BCR!Print_Area</vt:lpstr>
      <vt:lpstr>'BCR As %age of GSDP'!Print_Area</vt:lpstr>
      <vt:lpstr>Borrowings!Print_Area</vt:lpstr>
      <vt:lpstr>'Borrowings As %age of GSDP'!Print_Area</vt:lpstr>
      <vt:lpstr>'Central Asistant %age of GSDP'!Print_Area</vt:lpstr>
      <vt:lpstr>'Central Assistance'!Print_Area</vt:lpstr>
      <vt:lpstr>'Committed Exp Per Capita'!Print_Area</vt:lpstr>
      <vt:lpstr>'Fiscal Deficit (%GSDP)'!Print_Area</vt:lpstr>
      <vt:lpstr>'IP as % of TRR'!Print_Area</vt:lpstr>
      <vt:lpstr>'NON Plan Exp(%GSDP)'!Print_Area</vt:lpstr>
      <vt:lpstr>'Outlay % GSDP'!Print_Area</vt:lpstr>
      <vt:lpstr>'Outstanding liabilities '!Print_Area</vt:lpstr>
      <vt:lpstr>'Per Capita GSDP '!Print_Area</vt:lpstr>
      <vt:lpstr>'Per Capita Plan Expenditure'!Print_Area</vt:lpstr>
      <vt:lpstr>'Per Capita Total Expenditure'!Print_Area</vt:lpstr>
      <vt:lpstr>'Plan Exp(%GSDP)'!Print_Area</vt:lpstr>
      <vt:lpstr>'PP,IP,&amp; Total Expenditure'!Print_Area</vt:lpstr>
      <vt:lpstr>PSEs!Print_Area</vt:lpstr>
      <vt:lpstr>'Public Exp Ratio'!Print_Area</vt:lpstr>
      <vt:lpstr>'Realization of Outlay 11th Plan'!Print_Area</vt:lpstr>
      <vt:lpstr>'Revenue Deficit (%GSDP)'!Print_Area</vt:lpstr>
      <vt:lpstr>'Salaries (% Plan Expenditure)'!Print_Area</vt:lpstr>
      <vt:lpstr>'Social Allocation Ratio'!Print_Area</vt:lpstr>
      <vt:lpstr>SOR!Print_Area</vt:lpstr>
      <vt:lpstr>'SOR As%age of GSDP'!Print_Area</vt:lpstr>
      <vt:lpstr>'SOTR (%GSDP)'!Print_Area</vt:lpstr>
      <vt:lpstr>'State Own Tax Revenues'!Print_Area</vt:lpstr>
      <vt:lpstr>'Transfer to States'!Print_Area</vt:lpstr>
      <vt:lpstr>'Worksheet Pension &amp; RE'!Print_Area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hp</cp:lastModifiedBy>
  <cp:lastPrinted>2014-07-14T07:19:16Z</cp:lastPrinted>
  <dcterms:created xsi:type="dcterms:W3CDTF">2012-07-19T11:01:47Z</dcterms:created>
  <dcterms:modified xsi:type="dcterms:W3CDTF">2014-07-16T05:59:16Z</dcterms:modified>
</cp:coreProperties>
</file>