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aharashtra(F)" sheetId="1" r:id="rId1"/>
  </sheets>
  <definedNames>
    <definedName name="_xlnm.Print_Area" localSheetId="0">'Maharashtra(F)'!$A$1:$O$123</definedName>
    <definedName name="_xlnm.Print_Titles" localSheetId="0">'Maharashtra(F)'!$A:$B,'Maharashtra(F)'!$1:$7</definedName>
  </definedNames>
  <calcPr fullCalcOnLoad="1"/>
</workbook>
</file>

<file path=xl/sharedStrings.xml><?xml version="1.0" encoding="utf-8"?>
<sst xmlns="http://schemas.openxmlformats.org/spreadsheetml/2006/main" count="154" uniqueCount="145">
  <si>
    <t xml:space="preserve">FINANCIAL PERFORMANCE OF MAHARASHTRA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</si>
  <si>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</si>
  <si>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</si>
  <si>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</si>
  <si>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</si>
  <si>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</si>
  <si>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</si>
  <si>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</si>
  <si>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</si>
  <si>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</si>
  <si>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</si>
  <si>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</si>
  <si>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</si>
  <si>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</si>
  <si>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</si>
  <si>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</si>
  <si>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</si>
  <si>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</si>
  <si>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</si>
  <si>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</si>
  <si>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</si>
  <si>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</si>
  <si>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</si>
  <si>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</si>
  <si>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</si>
  <si>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</si>
  <si>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</si>
  <si>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</si>
  <si>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</si>
  <si>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</si>
  <si>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</si>
  <si>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</si>
  <si>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</si>
  <si>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</si>
  <si>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</si>
  <si>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</si>
  <si>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</si>
  <si>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</si>
  <si>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</si>
  <si>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</si>
  <si>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</si>
  <si>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</si>
  <si>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</si>
  <si>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</si>
  <si>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</si>
  <si>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</si>
  <si>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</si>
  <si>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</si>
  <si>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</si>
  <si>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</si>
  <si>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</si>
  <si>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</si>
  <si>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</si>
  <si>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</si>
  <si>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</si>
  <si>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</si>
  <si>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</si>
  <si>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</si>
  <si>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</si>
  <si>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</si>
  <si>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</si>
  <si>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</si>
  <si>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</si>
  <si>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</si>
  <si>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</si>
  <si>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</si>
  <si>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</si>
  <si>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</si>
  <si>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</si>
  <si>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</si>
  <si>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</si>
  <si>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</si>
  <si>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</si>
  <si>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</si>
  <si>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</si>
  <si>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</si>
  <si>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</si>
  <si>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</si>
  <si>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</si>
  <si>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</si>
  <si>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</si>
  <si>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</si>
  <si>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</si>
  <si>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</si>
  <si>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</si>
  <si>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</si>
  <si>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</si>
  <si>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</si>
  <si>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</si>
  <si>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</si>
  <si>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</si>
  <si>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</si>
  <si>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</si>
  <si>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</si>
  <si>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</si>
  <si>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</si>
  <si>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</si>
  <si>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</si>
  <si>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</si>
  <si>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</si>
  <si>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</si>
  <si>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</si>
  <si>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</si>
  <si>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</si>
  <si>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</si>
  <si>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</si>
  <si>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</si>
  <si>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</si>
  <si>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</si>
  <si>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</si>
  <si>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</si>
  <si>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</si>
  <si>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</si>
  <si>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</si>
  <si>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</si>
  <si>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</si>
  <si>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</si>
  <si>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</si>
  <si>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</si>
  <si>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</si>
  <si>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</si>
  <si>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</si>
  <si>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</si>
  <si>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</si>
  <si>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</si>
  <si>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</si>
  <si>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* : Revision not sought by State; approved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</si>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</sst>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5" fontId="13" fillId="2" borderId="0" xfId="0" applyNumberFormat="1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13" fillId="2" borderId="7" xfId="0" applyNumberFormat="1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16" fillId="2" borderId="7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2" fontId="13" fillId="2" borderId="0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12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55" zoomScaleNormal="55" zoomScaleSheetLayoutView="55" workbookViewId="0" topLeftCell="A1">
      <selection activeCell="B3" sqref="B3:B6"/>
    </sheetView>
  </sheetViews>
  <sheetFormatPr defaultColWidth="9.140625" defaultRowHeight="12.75"/>
  <cols>
    <col min="1" max="1" width="5.28125" style="68" customWidth="1"/>
    <col min="2" max="2" width="55.421875" style="7" customWidth="1"/>
    <col min="3" max="3" width="15.57421875" style="3" customWidth="1"/>
    <col min="4" max="4" width="15.421875" style="3" customWidth="1"/>
    <col min="5" max="5" width="14.7109375" style="3" customWidth="1"/>
    <col min="6" max="6" width="14.00390625" style="3" customWidth="1"/>
    <col min="7" max="7" width="14.28125" style="3" customWidth="1"/>
    <col min="8" max="8" width="14.57421875" style="3" customWidth="1"/>
    <col min="9" max="9" width="14.140625" style="3" customWidth="1"/>
    <col min="10" max="10" width="13.7109375" style="3" customWidth="1"/>
    <col min="11" max="11" width="13.8515625" style="3" customWidth="1"/>
    <col min="12" max="12" width="14.7109375" style="3" customWidth="1"/>
    <col min="13" max="13" width="15.140625" style="3" customWidth="1"/>
    <col min="14" max="14" width="16.140625" style="3" customWidth="1"/>
    <col min="15" max="15" width="14.7109375" style="3" customWidth="1"/>
    <col min="16" max="16384" width="9.140625" style="3" customWidth="1"/>
  </cols>
  <sheetData>
    <row r="1" spans="1:34" ht="15.75">
      <c r="A1" s="70"/>
      <c r="B1" s="70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3" t="s">
        <v>2</v>
      </c>
      <c r="B3" s="71" t="s">
        <v>3</v>
      </c>
      <c r="C3" s="69" t="s">
        <v>4</v>
      </c>
      <c r="D3" s="74" t="s">
        <v>5</v>
      </c>
      <c r="E3" s="74"/>
      <c r="F3" s="74"/>
      <c r="G3" s="74" t="s">
        <v>6</v>
      </c>
      <c r="H3" s="74"/>
      <c r="I3" s="74"/>
      <c r="J3" s="74" t="s">
        <v>7</v>
      </c>
      <c r="K3" s="74"/>
      <c r="L3" s="74"/>
      <c r="M3" s="74" t="s">
        <v>8</v>
      </c>
      <c r="N3" s="74"/>
      <c r="O3" s="69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3"/>
      <c r="B4" s="71"/>
      <c r="C4" s="72"/>
      <c r="D4" s="69" t="s">
        <v>10</v>
      </c>
      <c r="E4" s="69" t="s">
        <v>11</v>
      </c>
      <c r="F4" s="69" t="s">
        <v>12</v>
      </c>
      <c r="G4" s="69" t="s">
        <v>10</v>
      </c>
      <c r="H4" s="69" t="s">
        <v>11</v>
      </c>
      <c r="I4" s="69" t="s">
        <v>12</v>
      </c>
      <c r="J4" s="69" t="s">
        <v>10</v>
      </c>
      <c r="K4" s="69" t="s">
        <v>11</v>
      </c>
      <c r="L4" s="69" t="s">
        <v>12</v>
      </c>
      <c r="M4" s="69" t="s">
        <v>10</v>
      </c>
      <c r="N4" s="69" t="s">
        <v>11</v>
      </c>
      <c r="O4" s="6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3"/>
      <c r="B5" s="71"/>
      <c r="C5" s="72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3"/>
      <c r="B6" s="71"/>
      <c r="C6" s="72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57685</v>
      </c>
      <c r="D9" s="19">
        <v>9068</v>
      </c>
      <c r="E9" s="19">
        <v>9068</v>
      </c>
      <c r="F9" s="20">
        <v>5021.58</v>
      </c>
      <c r="G9" s="21">
        <v>9954</v>
      </c>
      <c r="H9" s="22">
        <v>5228.13</v>
      </c>
      <c r="I9" s="23">
        <v>5337.21</v>
      </c>
      <c r="J9" s="20">
        <v>16400</v>
      </c>
      <c r="K9" s="19">
        <v>3984</v>
      </c>
      <c r="L9" s="20">
        <v>7497.83</v>
      </c>
      <c r="M9" s="22">
        <v>9038.74</v>
      </c>
      <c r="N9" s="23">
        <v>9038.74</v>
      </c>
      <c r="O9" s="24">
        <v>14086.39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1666.73</v>
      </c>
      <c r="G10" s="22">
        <v>0</v>
      </c>
      <c r="H10" s="22">
        <v>6306.18</v>
      </c>
      <c r="I10" s="23">
        <v>1583.07</v>
      </c>
      <c r="J10" s="20"/>
      <c r="K10" s="19">
        <v>1182.22</v>
      </c>
      <c r="L10" s="20">
        <v>5462.74</v>
      </c>
      <c r="M10" s="22">
        <v>531.73</v>
      </c>
      <c r="N10" s="23">
        <v>531.73</v>
      </c>
      <c r="O10" s="24">
        <v>3869.92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184014</v>
      </c>
      <c r="D11" s="19">
        <v>61216</v>
      </c>
      <c r="E11" s="19">
        <v>61216</v>
      </c>
      <c r="F11" s="20">
        <v>6869.24</v>
      </c>
      <c r="G11" s="21">
        <v>25651</v>
      </c>
      <c r="H11" s="22">
        <v>24737.83</v>
      </c>
      <c r="I11" s="23">
        <v>12331.64</v>
      </c>
      <c r="J11" s="20"/>
      <c r="K11" s="19"/>
      <c r="L11" s="20">
        <v>10757.99</v>
      </c>
      <c r="M11" s="22"/>
      <c r="N11" s="23"/>
      <c r="O11" s="24">
        <v>23027.74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1950</v>
      </c>
      <c r="K12" s="19">
        <v>1950</v>
      </c>
      <c r="L12" s="20"/>
      <c r="M12" s="22">
        <v>10482.11</v>
      </c>
      <c r="N12" s="23">
        <v>10482.11</v>
      </c>
      <c r="O12" s="2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5"/>
      <c r="B13" s="18" t="s">
        <v>33</v>
      </c>
      <c r="C13" s="19">
        <v>13750</v>
      </c>
      <c r="D13" s="19">
        <v>1280</v>
      </c>
      <c r="E13" s="19">
        <v>1280</v>
      </c>
      <c r="F13" s="20">
        <v>395.43</v>
      </c>
      <c r="G13" s="21">
        <v>3047</v>
      </c>
      <c r="H13" s="22">
        <v>2998.57</v>
      </c>
      <c r="I13" s="23">
        <v>1644.8</v>
      </c>
      <c r="J13" s="20"/>
      <c r="K13" s="19">
        <v>213.56</v>
      </c>
      <c r="L13" s="20">
        <v>802.88</v>
      </c>
      <c r="M13" s="22">
        <v>2493.15</v>
      </c>
      <c r="N13" s="23">
        <v>2493.15</v>
      </c>
      <c r="O13" s="24">
        <v>5994.93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34</v>
      </c>
      <c r="C14" s="19">
        <v>3000</v>
      </c>
      <c r="D14" s="19">
        <v>347</v>
      </c>
      <c r="E14" s="19">
        <v>347</v>
      </c>
      <c r="F14" s="20">
        <v>155.38</v>
      </c>
      <c r="G14" s="21">
        <v>475</v>
      </c>
      <c r="H14" s="22">
        <v>146</v>
      </c>
      <c r="I14" s="23">
        <v>474.59</v>
      </c>
      <c r="J14" s="20"/>
      <c r="K14" s="19">
        <v>0</v>
      </c>
      <c r="L14" s="20">
        <v>0</v>
      </c>
      <c r="M14" s="22">
        <v>259.19</v>
      </c>
      <c r="N14" s="23">
        <v>259.19</v>
      </c>
      <c r="O14" s="24">
        <v>654.83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35</v>
      </c>
      <c r="C15" s="19">
        <v>7020</v>
      </c>
      <c r="D15" s="19">
        <v>1086</v>
      </c>
      <c r="E15" s="19">
        <v>1086</v>
      </c>
      <c r="F15" s="20">
        <v>798.52</v>
      </c>
      <c r="G15" s="21">
        <v>1231</v>
      </c>
      <c r="H15" s="22">
        <v>849.04</v>
      </c>
      <c r="I15" s="23">
        <v>617.24</v>
      </c>
      <c r="J15" s="20"/>
      <c r="K15" s="19">
        <v>101.95</v>
      </c>
      <c r="L15" s="20">
        <v>800.25</v>
      </c>
      <c r="M15" s="22">
        <v>1017.31</v>
      </c>
      <c r="N15" s="23">
        <v>1017.31</v>
      </c>
      <c r="O15" s="24">
        <v>3659.2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36</v>
      </c>
      <c r="C16" s="19">
        <v>68279</v>
      </c>
      <c r="D16" s="19">
        <v>2081</v>
      </c>
      <c r="E16" s="19">
        <v>2081</v>
      </c>
      <c r="F16" s="20">
        <f>1287.46+37.82</f>
        <v>1325.28</v>
      </c>
      <c r="G16" s="21">
        <v>3159</v>
      </c>
      <c r="H16" s="22">
        <v>3904.4</v>
      </c>
      <c r="I16" s="23">
        <f>2553.63+30.78</f>
        <v>2584.4100000000003</v>
      </c>
      <c r="J16" s="20"/>
      <c r="K16" s="19">
        <v>462.62</v>
      </c>
      <c r="L16" s="20">
        <f>1014.1+47.66</f>
        <v>1061.76</v>
      </c>
      <c r="M16" s="22">
        <v>1783.77</v>
      </c>
      <c r="N16" s="23">
        <v>1783.77</v>
      </c>
      <c r="O16" s="24">
        <v>3973.78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37</v>
      </c>
      <c r="C17" s="19">
        <v>0</v>
      </c>
      <c r="D17" s="19">
        <v>0</v>
      </c>
      <c r="E17" s="19">
        <v>0</v>
      </c>
      <c r="F17" s="20">
        <v>0</v>
      </c>
      <c r="G17" s="21">
        <v>0</v>
      </c>
      <c r="H17" s="22">
        <v>0</v>
      </c>
      <c r="I17" s="23">
        <v>0</v>
      </c>
      <c r="J17" s="20"/>
      <c r="K17" s="19"/>
      <c r="L17" s="20">
        <v>0</v>
      </c>
      <c r="M17" s="22">
        <v>175</v>
      </c>
      <c r="N17" s="23">
        <v>175</v>
      </c>
      <c r="O17" s="24">
        <v>400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38</v>
      </c>
      <c r="C18" s="19">
        <v>0</v>
      </c>
      <c r="D18" s="19">
        <v>0</v>
      </c>
      <c r="E18" s="19">
        <v>0</v>
      </c>
      <c r="F18" s="20">
        <v>0</v>
      </c>
      <c r="G18" s="21">
        <v>0</v>
      </c>
      <c r="H18" s="22">
        <v>0</v>
      </c>
      <c r="I18" s="23">
        <v>0</v>
      </c>
      <c r="J18" s="20"/>
      <c r="K18" s="19"/>
      <c r="L18" s="20">
        <v>0</v>
      </c>
      <c r="M18" s="22">
        <v>0</v>
      </c>
      <c r="N18" s="23">
        <v>0</v>
      </c>
      <c r="O18" s="24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39</v>
      </c>
      <c r="C19" s="19">
        <v>8000</v>
      </c>
      <c r="D19" s="19">
        <v>474</v>
      </c>
      <c r="E19" s="19">
        <v>474</v>
      </c>
      <c r="F19" s="20">
        <v>734.37</v>
      </c>
      <c r="G19" s="21">
        <v>1200</v>
      </c>
      <c r="H19" s="22">
        <v>1192.88</v>
      </c>
      <c r="I19" s="23">
        <v>749.17</v>
      </c>
      <c r="J19" s="20"/>
      <c r="K19" s="19">
        <v>50.25</v>
      </c>
      <c r="L19" s="20">
        <v>911.89</v>
      </c>
      <c r="M19" s="22">
        <v>576</v>
      </c>
      <c r="N19" s="23">
        <v>576</v>
      </c>
      <c r="O19" s="24">
        <v>1500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40</v>
      </c>
      <c r="C20" s="19">
        <v>0</v>
      </c>
      <c r="D20" s="19">
        <v>0</v>
      </c>
      <c r="E20" s="19">
        <v>0</v>
      </c>
      <c r="F20" s="20">
        <v>0</v>
      </c>
      <c r="G20" s="21">
        <v>0</v>
      </c>
      <c r="H20" s="22">
        <v>0</v>
      </c>
      <c r="I20" s="23">
        <v>0</v>
      </c>
      <c r="J20" s="20"/>
      <c r="K20" s="19"/>
      <c r="L20" s="20">
        <v>0</v>
      </c>
      <c r="M20" s="22">
        <v>0</v>
      </c>
      <c r="N20" s="23">
        <v>0</v>
      </c>
      <c r="O20" s="24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41</v>
      </c>
      <c r="C21" s="19">
        <v>83114</v>
      </c>
      <c r="D21" s="19">
        <v>8716</v>
      </c>
      <c r="E21" s="19">
        <v>8716</v>
      </c>
      <c r="F21" s="20">
        <v>856.16</v>
      </c>
      <c r="G21" s="21">
        <v>1807</v>
      </c>
      <c r="H21" s="22">
        <v>1807.04</v>
      </c>
      <c r="I21" s="23">
        <v>427.31</v>
      </c>
      <c r="J21" s="20"/>
      <c r="K21" s="19">
        <v>3154.01</v>
      </c>
      <c r="L21" s="23">
        <v>5100.49</v>
      </c>
      <c r="M21" s="22">
        <v>3782.68</v>
      </c>
      <c r="N21" s="23">
        <v>3782.68</v>
      </c>
      <c r="O21" s="24">
        <v>4618.95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128</v>
      </c>
      <c r="C22" s="19"/>
      <c r="D22" s="19"/>
      <c r="E22" s="19"/>
      <c r="F22" s="20"/>
      <c r="G22" s="22"/>
      <c r="H22" s="22"/>
      <c r="I22" s="23"/>
      <c r="J22" s="20"/>
      <c r="K22" s="19"/>
      <c r="L22" s="23"/>
      <c r="M22" s="22"/>
      <c r="N22" s="23"/>
      <c r="O22" s="2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42</v>
      </c>
      <c r="C23" s="19">
        <v>0</v>
      </c>
      <c r="D23" s="19">
        <v>0</v>
      </c>
      <c r="E23" s="19">
        <v>0</v>
      </c>
      <c r="F23" s="20">
        <v>0</v>
      </c>
      <c r="G23" s="21">
        <v>0</v>
      </c>
      <c r="H23" s="22">
        <v>0</v>
      </c>
      <c r="I23" s="23">
        <v>0</v>
      </c>
      <c r="J23" s="20"/>
      <c r="K23" s="19"/>
      <c r="L23" s="26">
        <v>0</v>
      </c>
      <c r="M23" s="22">
        <v>0</v>
      </c>
      <c r="N23" s="23">
        <v>0</v>
      </c>
      <c r="O23" s="24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43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22">
        <v>42.79</v>
      </c>
      <c r="I24" s="23">
        <v>0</v>
      </c>
      <c r="J24" s="20"/>
      <c r="K24" s="19">
        <v>17.98</v>
      </c>
      <c r="L24" s="23">
        <v>0</v>
      </c>
      <c r="M24" s="22">
        <v>0</v>
      </c>
      <c r="N24" s="23">
        <v>0</v>
      </c>
      <c r="O24" s="24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4" customFormat="1" ht="15" customHeight="1">
      <c r="A25" s="25"/>
      <c r="B25" s="27" t="s">
        <v>44</v>
      </c>
      <c r="C25" s="28">
        <f>SUM(C9:C24)</f>
        <v>424862</v>
      </c>
      <c r="D25" s="28">
        <f>SUM(D9:D24)</f>
        <v>84268</v>
      </c>
      <c r="E25" s="28">
        <f>SUM(E9:E24)</f>
        <v>84268</v>
      </c>
      <c r="F25" s="29">
        <f>SUM(F9:F24)</f>
        <v>17822.69</v>
      </c>
      <c r="G25" s="30">
        <f>SUM(G9:G24)</f>
        <v>46524</v>
      </c>
      <c r="H25" s="30">
        <f>SUM(H8:H24)</f>
        <v>47212.86</v>
      </c>
      <c r="I25" s="31">
        <f>SUM(I8:I24)</f>
        <v>25749.44</v>
      </c>
      <c r="J25" s="29">
        <f aca="true" t="shared" si="0" ref="J25:O25">SUM(J9:J24)</f>
        <v>18350</v>
      </c>
      <c r="K25" s="28">
        <f t="shared" si="0"/>
        <v>11116.59</v>
      </c>
      <c r="L25" s="31">
        <f t="shared" si="0"/>
        <v>32395.829999999994</v>
      </c>
      <c r="M25" s="30">
        <f t="shared" si="0"/>
        <v>30139.680000000004</v>
      </c>
      <c r="N25" s="31">
        <f t="shared" si="0"/>
        <v>30139.680000000004</v>
      </c>
      <c r="O25" s="32">
        <f t="shared" si="0"/>
        <v>61785.74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ht="15" customHeight="1">
      <c r="A26" s="25"/>
      <c r="B26" s="18"/>
      <c r="C26" s="19"/>
      <c r="D26" s="19"/>
      <c r="E26" s="19"/>
      <c r="F26" s="35"/>
      <c r="G26" s="22"/>
      <c r="H26" s="22"/>
      <c r="I26" s="23"/>
      <c r="J26" s="20"/>
      <c r="K26" s="36"/>
      <c r="L26" s="31"/>
      <c r="M26" s="22"/>
      <c r="N26" s="23"/>
      <c r="O26" s="2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5" t="s">
        <v>45</v>
      </c>
      <c r="B27" s="14" t="s">
        <v>129</v>
      </c>
      <c r="C27" s="19"/>
      <c r="D27" s="19"/>
      <c r="E27" s="19"/>
      <c r="F27" s="20"/>
      <c r="G27" s="22"/>
      <c r="H27" s="22"/>
      <c r="I27" s="23"/>
      <c r="J27" s="20"/>
      <c r="K27" s="19"/>
      <c r="L27" s="23"/>
      <c r="M27" s="22"/>
      <c r="N27" s="23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/>
      <c r="B28" s="14" t="s">
        <v>130</v>
      </c>
      <c r="C28" s="19"/>
      <c r="D28" s="19"/>
      <c r="E28" s="19"/>
      <c r="F28" s="20"/>
      <c r="G28" s="22"/>
      <c r="H28" s="22"/>
      <c r="I28" s="23"/>
      <c r="J28" s="20"/>
      <c r="K28" s="19"/>
      <c r="L28" s="23"/>
      <c r="M28" s="22"/>
      <c r="N28" s="23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8" t="s">
        <v>46</v>
      </c>
      <c r="C29" s="19">
        <v>19500</v>
      </c>
      <c r="D29" s="19">
        <v>3577</v>
      </c>
      <c r="E29" s="19">
        <v>3577</v>
      </c>
      <c r="F29" s="20">
        <v>1520.41</v>
      </c>
      <c r="G29" s="21">
        <v>3033</v>
      </c>
      <c r="H29" s="22">
        <v>2992.64</v>
      </c>
      <c r="I29" s="23">
        <v>882.51</v>
      </c>
      <c r="J29" s="20"/>
      <c r="K29" s="19">
        <v>444.07</v>
      </c>
      <c r="L29" s="23">
        <v>1319</v>
      </c>
      <c r="M29" s="22">
        <v>3389.64</v>
      </c>
      <c r="N29" s="23">
        <v>3389.64</v>
      </c>
      <c r="O29" s="24">
        <v>3965.03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19"/>
      <c r="L30" s="23">
        <v>0</v>
      </c>
      <c r="M30" s="22">
        <v>0</v>
      </c>
      <c r="N30" s="23">
        <v>0</v>
      </c>
      <c r="O30" s="24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48</v>
      </c>
      <c r="C31" s="19">
        <v>568</v>
      </c>
      <c r="D31" s="19">
        <v>48</v>
      </c>
      <c r="E31" s="19">
        <v>48</v>
      </c>
      <c r="F31" s="20">
        <v>21.28</v>
      </c>
      <c r="G31" s="21">
        <v>75</v>
      </c>
      <c r="H31" s="22">
        <v>75</v>
      </c>
      <c r="I31" s="23">
        <v>44.97</v>
      </c>
      <c r="J31" s="20"/>
      <c r="K31" s="19"/>
      <c r="L31" s="23">
        <v>313.73</v>
      </c>
      <c r="M31" s="22">
        <v>75</v>
      </c>
      <c r="N31" s="23">
        <v>75</v>
      </c>
      <c r="O31" s="24">
        <v>75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0</v>
      </c>
      <c r="J32" s="20"/>
      <c r="K32" s="19"/>
      <c r="L32" s="23">
        <v>0</v>
      </c>
      <c r="M32" s="22">
        <v>405.02</v>
      </c>
      <c r="N32" s="23">
        <v>405.02</v>
      </c>
      <c r="O32" s="24">
        <v>605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50</v>
      </c>
      <c r="C33" s="19"/>
      <c r="D33" s="19">
        <v>4296</v>
      </c>
      <c r="E33" s="19">
        <v>4296</v>
      </c>
      <c r="F33" s="20">
        <v>2059.81</v>
      </c>
      <c r="G33" s="21">
        <v>4327</v>
      </c>
      <c r="H33" s="22">
        <v>3713.07</v>
      </c>
      <c r="I33" s="23">
        <v>2209.97</v>
      </c>
      <c r="J33" s="20"/>
      <c r="K33" s="19">
        <v>1911.07</v>
      </c>
      <c r="L33" s="23">
        <v>3084.88</v>
      </c>
      <c r="M33" s="22">
        <v>4327.62</v>
      </c>
      <c r="N33" s="23">
        <v>4327.62</v>
      </c>
      <c r="O33" s="24">
        <v>4655.09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51</v>
      </c>
      <c r="C34" s="19">
        <v>23016</v>
      </c>
      <c r="D34" s="19"/>
      <c r="E34" s="19"/>
      <c r="F34" s="20">
        <v>0</v>
      </c>
      <c r="G34" s="22">
        <v>0</v>
      </c>
      <c r="H34" s="22">
        <v>0</v>
      </c>
      <c r="I34" s="23">
        <v>0</v>
      </c>
      <c r="J34" s="20"/>
      <c r="K34" s="19"/>
      <c r="L34" s="23"/>
      <c r="M34" s="22">
        <v>0</v>
      </c>
      <c r="N34" s="23">
        <v>0</v>
      </c>
      <c r="O34" s="24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52</v>
      </c>
      <c r="C35" s="19"/>
      <c r="D35" s="19">
        <v>128</v>
      </c>
      <c r="E35" s="19">
        <v>128</v>
      </c>
      <c r="F35" s="20">
        <v>101.72</v>
      </c>
      <c r="G35" s="22">
        <v>0</v>
      </c>
      <c r="H35" s="22">
        <v>0</v>
      </c>
      <c r="I35" s="23">
        <v>0</v>
      </c>
      <c r="J35" s="20"/>
      <c r="K35" s="19"/>
      <c r="L35" s="23"/>
      <c r="M35" s="22">
        <v>50</v>
      </c>
      <c r="N35" s="23">
        <v>50</v>
      </c>
      <c r="O35" s="24">
        <v>50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4" t="s">
        <v>131</v>
      </c>
      <c r="C36" s="19"/>
      <c r="D36" s="19"/>
      <c r="E36" s="19"/>
      <c r="F36" s="20"/>
      <c r="G36" s="22"/>
      <c r="H36" s="22"/>
      <c r="I36" s="23"/>
      <c r="J36" s="20"/>
      <c r="K36" s="19"/>
      <c r="L36" s="23"/>
      <c r="M36" s="22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8" t="s">
        <v>53</v>
      </c>
      <c r="C37" s="19"/>
      <c r="D37" s="19"/>
      <c r="E37" s="19"/>
      <c r="F37" s="20">
        <v>13769.59</v>
      </c>
      <c r="G37" s="21">
        <v>0</v>
      </c>
      <c r="H37" s="22">
        <v>32229.71</v>
      </c>
      <c r="I37" s="23">
        <v>22448.52</v>
      </c>
      <c r="J37" s="20">
        <v>1237.55</v>
      </c>
      <c r="K37" s="19">
        <v>5539.05</v>
      </c>
      <c r="L37" s="23">
        <v>14153.77</v>
      </c>
      <c r="M37" s="22">
        <v>24352.97</v>
      </c>
      <c r="N37" s="23">
        <v>24352.97</v>
      </c>
      <c r="O37" s="24">
        <v>26338.16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54</v>
      </c>
      <c r="C38" s="19">
        <f>111900+293700</f>
        <v>405600</v>
      </c>
      <c r="D38" s="19">
        <f>20090+60000</f>
        <v>80090</v>
      </c>
      <c r="E38" s="19">
        <f>20090+60000</f>
        <v>80090</v>
      </c>
      <c r="F38" s="20">
        <v>88900.02</v>
      </c>
      <c r="G38" s="37">
        <v>70000</v>
      </c>
      <c r="H38" s="22">
        <v>104250</v>
      </c>
      <c r="I38" s="23">
        <v>105100</v>
      </c>
      <c r="J38" s="20">
        <v>20477</v>
      </c>
      <c r="K38" s="19">
        <v>106829</v>
      </c>
      <c r="L38" s="26">
        <v>125603</v>
      </c>
      <c r="M38" s="22">
        <v>57500</v>
      </c>
      <c r="N38" s="23">
        <v>57500</v>
      </c>
      <c r="O38" s="24">
        <f>57161.1+1310.77</f>
        <v>58471.869999999995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4" t="s">
        <v>55</v>
      </c>
      <c r="C39" s="19">
        <v>2555</v>
      </c>
      <c r="D39" s="19">
        <v>1000</v>
      </c>
      <c r="E39" s="19">
        <v>1000</v>
      </c>
      <c r="F39" s="20">
        <v>709.77</v>
      </c>
      <c r="G39" s="37">
        <v>1106</v>
      </c>
      <c r="H39" s="22">
        <v>1100.31</v>
      </c>
      <c r="I39" s="23">
        <v>1005.83</v>
      </c>
      <c r="J39" s="20"/>
      <c r="K39" s="19">
        <v>844.01</v>
      </c>
      <c r="L39" s="23">
        <v>283.87</v>
      </c>
      <c r="M39" s="22">
        <v>1212.05</v>
      </c>
      <c r="N39" s="23">
        <v>1212.05</v>
      </c>
      <c r="O39" s="24"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132</v>
      </c>
      <c r="C40" s="19"/>
      <c r="D40" s="19"/>
      <c r="E40" s="19"/>
      <c r="F40" s="20"/>
      <c r="G40" s="37"/>
      <c r="H40" s="22"/>
      <c r="I40" s="23"/>
      <c r="J40" s="20"/>
      <c r="K40" s="19"/>
      <c r="L40" s="23"/>
      <c r="M40" s="22"/>
      <c r="N40" s="23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8" t="s">
        <v>56</v>
      </c>
      <c r="C41" s="19">
        <v>240733</v>
      </c>
      <c r="D41" s="19">
        <v>13135</v>
      </c>
      <c r="E41" s="19">
        <v>13135</v>
      </c>
      <c r="F41" s="20">
        <f>9.7+200+525.43+6567</f>
        <v>7302.13</v>
      </c>
      <c r="G41" s="37">
        <v>0</v>
      </c>
      <c r="H41" s="22">
        <v>0</v>
      </c>
      <c r="I41" s="23">
        <v>0</v>
      </c>
      <c r="J41" s="20"/>
      <c r="K41" s="19"/>
      <c r="L41" s="23">
        <f>12.63+100</f>
        <v>112.63</v>
      </c>
      <c r="M41" s="22">
        <v>0</v>
      </c>
      <c r="N41" s="23">
        <v>0</v>
      </c>
      <c r="O41" s="24"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57</v>
      </c>
      <c r="D42" s="19">
        <v>9044</v>
      </c>
      <c r="E42" s="19">
        <v>9044</v>
      </c>
      <c r="F42" s="20">
        <f>14+4216.66</f>
        <v>4230.66</v>
      </c>
      <c r="G42" s="37">
        <v>30276</v>
      </c>
      <c r="H42" s="22">
        <v>11859.39</v>
      </c>
      <c r="I42" s="23">
        <f>4.3+975+14.98+9982.95</f>
        <v>10977.230000000001</v>
      </c>
      <c r="J42" s="20"/>
      <c r="K42" s="19">
        <f>13.88+15.26+369.5+1108.51+83.33+106.67</f>
        <v>1697.15</v>
      </c>
      <c r="L42" s="38">
        <f>50.17+975+1885.87+100+14935.7</f>
        <v>17946.74</v>
      </c>
      <c r="M42" s="22">
        <v>5136.72</v>
      </c>
      <c r="N42" s="23">
        <v>5136.72</v>
      </c>
      <c r="O42" s="24">
        <f>46.02+100+1000+2995.3+0+200+0+5000+89.66</f>
        <v>9430.98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4" customFormat="1" ht="15" customHeight="1">
      <c r="A43" s="25"/>
      <c r="B43" s="27" t="s">
        <v>58</v>
      </c>
      <c r="C43" s="28">
        <f>SUM(C29:C42)</f>
        <v>691972</v>
      </c>
      <c r="D43" s="28">
        <f>SUM(D29:D42)</f>
        <v>111318</v>
      </c>
      <c r="E43" s="28">
        <f>SUM(E29:E42)</f>
        <v>111318</v>
      </c>
      <c r="F43" s="29">
        <f>SUM(F29:F42)</f>
        <v>118615.39000000001</v>
      </c>
      <c r="G43" s="39">
        <f>SUM(G28:G42)</f>
        <v>108817</v>
      </c>
      <c r="H43" s="39">
        <f>SUM(H28:H42)</f>
        <v>156220.12</v>
      </c>
      <c r="I43" s="40">
        <f>SUM(I28:I42)</f>
        <v>142669.03</v>
      </c>
      <c r="J43" s="29">
        <f aca="true" t="shared" si="1" ref="J43:O43">SUM(J29:J42)</f>
        <v>21714.55</v>
      </c>
      <c r="K43" s="28">
        <f t="shared" si="1"/>
        <v>117264.34999999999</v>
      </c>
      <c r="L43" s="31">
        <f t="shared" si="1"/>
        <v>162817.62</v>
      </c>
      <c r="M43" s="30">
        <f t="shared" si="1"/>
        <v>96449.02</v>
      </c>
      <c r="N43" s="31">
        <f t="shared" si="1"/>
        <v>96449.02</v>
      </c>
      <c r="O43" s="32">
        <f t="shared" si="1"/>
        <v>103591.12999999999</v>
      </c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15" customHeight="1">
      <c r="A44" s="25"/>
      <c r="B44" s="18"/>
      <c r="C44" s="19"/>
      <c r="D44" s="19"/>
      <c r="E44" s="19"/>
      <c r="F44" s="35"/>
      <c r="G44" s="22"/>
      <c r="H44" s="22"/>
      <c r="I44" s="23"/>
      <c r="J44" s="20"/>
      <c r="K44" s="36"/>
      <c r="L44" s="31"/>
      <c r="M44" s="22"/>
      <c r="N44" s="23"/>
      <c r="O44" s="2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5" t="s">
        <v>59</v>
      </c>
      <c r="B45" s="14" t="s">
        <v>133</v>
      </c>
      <c r="C45" s="28">
        <v>37322</v>
      </c>
      <c r="D45" s="28">
        <f>4743+2127</f>
        <v>6870</v>
      </c>
      <c r="E45" s="28">
        <f>4743+2127</f>
        <v>6870</v>
      </c>
      <c r="F45" s="29">
        <v>4856.94</v>
      </c>
      <c r="G45" s="30">
        <f>3240+2672+34689</f>
        <v>40601</v>
      </c>
      <c r="H45" s="30">
        <f>2608.5+2672+28718.95</f>
        <v>33999.45</v>
      </c>
      <c r="I45" s="31">
        <v>3742.59</v>
      </c>
      <c r="J45" s="29">
        <v>217096</v>
      </c>
      <c r="K45" s="28">
        <v>114947.49</v>
      </c>
      <c r="L45" s="31">
        <v>3980.27</v>
      </c>
      <c r="M45" s="30">
        <f>4673+2939+31431.07</f>
        <v>39043.07</v>
      </c>
      <c r="N45" s="31">
        <v>39043.07</v>
      </c>
      <c r="O45" s="32">
        <v>60395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1"/>
      <c r="B46" s="18"/>
      <c r="C46" s="19"/>
      <c r="D46" s="19"/>
      <c r="E46" s="19"/>
      <c r="F46" s="20"/>
      <c r="G46" s="22"/>
      <c r="H46" s="22"/>
      <c r="I46" s="23"/>
      <c r="J46" s="20"/>
      <c r="K46" s="19"/>
      <c r="L46" s="23"/>
      <c r="M46" s="22"/>
      <c r="N46" s="23"/>
      <c r="O46" s="2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5" t="s">
        <v>60</v>
      </c>
      <c r="B47" s="14" t="s">
        <v>134</v>
      </c>
      <c r="C47" s="19"/>
      <c r="D47" s="19"/>
      <c r="E47" s="19"/>
      <c r="F47" s="20"/>
      <c r="G47" s="22"/>
      <c r="H47" s="22"/>
      <c r="I47" s="23"/>
      <c r="J47" s="20"/>
      <c r="K47" s="19"/>
      <c r="L47" s="23"/>
      <c r="M47" s="22"/>
      <c r="N47" s="23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/>
      <c r="B48" s="18" t="s">
        <v>61</v>
      </c>
      <c r="C48" s="19">
        <v>1215010</v>
      </c>
      <c r="D48" s="19">
        <v>361087</v>
      </c>
      <c r="E48" s="19">
        <v>361087</v>
      </c>
      <c r="F48" s="20">
        <v>62968.99</v>
      </c>
      <c r="G48" s="37">
        <v>352787</v>
      </c>
      <c r="H48" s="22">
        <v>226559.75</v>
      </c>
      <c r="I48" s="23">
        <v>191984.24</v>
      </c>
      <c r="J48" s="20">
        <v>285000</v>
      </c>
      <c r="K48" s="19">
        <v>285000</v>
      </c>
      <c r="L48" s="23">
        <v>293044.58</v>
      </c>
      <c r="M48" s="22">
        <v>102575</v>
      </c>
      <c r="N48" s="23">
        <v>102575</v>
      </c>
      <c r="O48" s="24">
        <v>165288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62</v>
      </c>
      <c r="C49" s="19">
        <v>204316</v>
      </c>
      <c r="D49" s="19">
        <v>13407</v>
      </c>
      <c r="E49" s="19">
        <v>13407</v>
      </c>
      <c r="F49" s="20">
        <v>10244.81</v>
      </c>
      <c r="G49" s="37">
        <v>20568</v>
      </c>
      <c r="H49" s="22">
        <v>30274.91</v>
      </c>
      <c r="I49" s="23">
        <v>13036.95</v>
      </c>
      <c r="J49" s="20">
        <v>17180</v>
      </c>
      <c r="K49" s="19">
        <v>14838.99</v>
      </c>
      <c r="L49" s="23">
        <v>22055.56</v>
      </c>
      <c r="M49" s="22">
        <v>24944.96</v>
      </c>
      <c r="N49" s="23">
        <v>24944.96</v>
      </c>
      <c r="O49" s="24">
        <v>22030.37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63</v>
      </c>
      <c r="C50" s="19">
        <v>100000</v>
      </c>
      <c r="D50" s="19">
        <v>1277</v>
      </c>
      <c r="E50" s="19">
        <v>1277</v>
      </c>
      <c r="F50" s="20">
        <v>1800</v>
      </c>
      <c r="G50" s="37">
        <v>1800</v>
      </c>
      <c r="H50" s="22">
        <v>1800</v>
      </c>
      <c r="I50" s="23">
        <v>2016.22</v>
      </c>
      <c r="J50" s="20">
        <v>33700</v>
      </c>
      <c r="K50" s="19">
        <v>7220.6</v>
      </c>
      <c r="L50" s="23">
        <v>2155.18</v>
      </c>
      <c r="M50" s="22">
        <v>80500</v>
      </c>
      <c r="N50" s="23">
        <v>80500</v>
      </c>
      <c r="O50" s="24">
        <v>86500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64</v>
      </c>
      <c r="C51" s="19">
        <v>6175</v>
      </c>
      <c r="D51" s="19">
        <v>143</v>
      </c>
      <c r="E51" s="19">
        <v>143</v>
      </c>
      <c r="F51" s="20">
        <f>28.75+125.56</f>
        <v>154.31</v>
      </c>
      <c r="G51" s="37">
        <v>287</v>
      </c>
      <c r="H51" s="22">
        <v>316.88</v>
      </c>
      <c r="I51" s="23">
        <v>23.36</v>
      </c>
      <c r="J51" s="20"/>
      <c r="K51" s="19"/>
      <c r="L51" s="23">
        <v>123.51</v>
      </c>
      <c r="M51" s="22">
        <v>16316.65</v>
      </c>
      <c r="N51" s="23">
        <v>16316.65</v>
      </c>
      <c r="O51" s="24">
        <f>206.1+271.14</f>
        <v>477.24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4" customFormat="1" ht="15" customHeight="1">
      <c r="A52" s="41"/>
      <c r="B52" s="27" t="s">
        <v>65</v>
      </c>
      <c r="C52" s="28">
        <f aca="true" t="shared" si="2" ref="C52:M52">SUM(C48:C51)</f>
        <v>1525501</v>
      </c>
      <c r="D52" s="28">
        <f t="shared" si="2"/>
        <v>375914</v>
      </c>
      <c r="E52" s="28">
        <f t="shared" si="2"/>
        <v>375914</v>
      </c>
      <c r="F52" s="29">
        <f>SUM(F48:F51)</f>
        <v>75168.11</v>
      </c>
      <c r="G52" s="30">
        <f t="shared" si="2"/>
        <v>375442</v>
      </c>
      <c r="H52" s="30">
        <f t="shared" si="2"/>
        <v>258951.54</v>
      </c>
      <c r="I52" s="31">
        <f>SUM(I48:I51)</f>
        <v>207060.77</v>
      </c>
      <c r="J52" s="29">
        <f t="shared" si="2"/>
        <v>335880</v>
      </c>
      <c r="K52" s="28">
        <f t="shared" si="2"/>
        <v>307059.58999999997</v>
      </c>
      <c r="L52" s="31">
        <f>SUM(L48:L51)</f>
        <v>317378.83</v>
      </c>
      <c r="M52" s="30">
        <f t="shared" si="2"/>
        <v>224336.61</v>
      </c>
      <c r="N52" s="31">
        <f>SUM(N48:N51)</f>
        <v>224336.61</v>
      </c>
      <c r="O52" s="32">
        <f>SUM(O48:O51)</f>
        <v>274295.61</v>
      </c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15" customHeight="1">
      <c r="A53" s="25"/>
      <c r="B53" s="18"/>
      <c r="C53" s="19"/>
      <c r="D53" s="19"/>
      <c r="E53" s="19"/>
      <c r="F53" s="35"/>
      <c r="G53" s="22"/>
      <c r="H53" s="22"/>
      <c r="I53" s="23"/>
      <c r="J53" s="20"/>
      <c r="K53" s="42"/>
      <c r="L53" s="23"/>
      <c r="M53" s="22"/>
      <c r="N53" s="23"/>
      <c r="O53" s="2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5" t="s">
        <v>66</v>
      </c>
      <c r="B54" s="14" t="s">
        <v>135</v>
      </c>
      <c r="C54" s="19"/>
      <c r="D54" s="19"/>
      <c r="E54" s="19"/>
      <c r="F54" s="20"/>
      <c r="G54" s="22"/>
      <c r="H54" s="22"/>
      <c r="I54" s="23"/>
      <c r="J54" s="20"/>
      <c r="K54" s="19"/>
      <c r="L54" s="23"/>
      <c r="M54" s="22"/>
      <c r="N54" s="23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/>
      <c r="B55" s="18" t="s">
        <v>67</v>
      </c>
      <c r="C55" s="19">
        <v>1014971</v>
      </c>
      <c r="D55" s="19">
        <v>73056</v>
      </c>
      <c r="E55" s="19">
        <v>73056</v>
      </c>
      <c r="F55" s="20">
        <v>274668.43</v>
      </c>
      <c r="G55" s="37">
        <v>41348</v>
      </c>
      <c r="H55" s="22">
        <v>34905.47</v>
      </c>
      <c r="I55" s="23">
        <f>30036.7+103456.92</f>
        <v>133493.62</v>
      </c>
      <c r="J55" s="20">
        <v>38242.53</v>
      </c>
      <c r="K55" s="19">
        <v>38242.53</v>
      </c>
      <c r="L55" s="23">
        <v>75980.8</v>
      </c>
      <c r="M55" s="22">
        <v>71163.11</v>
      </c>
      <c r="N55" s="23">
        <v>71163.11</v>
      </c>
      <c r="O55" s="24">
        <v>139999.29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68</v>
      </c>
      <c r="C56" s="19">
        <v>1380</v>
      </c>
      <c r="D56" s="19">
        <v>147</v>
      </c>
      <c r="E56" s="19">
        <v>147</v>
      </c>
      <c r="F56" s="20">
        <v>100</v>
      </c>
      <c r="G56" s="37">
        <v>125</v>
      </c>
      <c r="H56" s="22">
        <v>54.47</v>
      </c>
      <c r="I56" s="23">
        <v>0</v>
      </c>
      <c r="J56" s="20"/>
      <c r="K56" s="19">
        <v>1833</v>
      </c>
      <c r="L56" s="23">
        <v>1833</v>
      </c>
      <c r="M56" s="22">
        <v>600</v>
      </c>
      <c r="N56" s="23">
        <v>600</v>
      </c>
      <c r="O56" s="24">
        <v>600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4" customFormat="1" ht="15" customHeight="1">
      <c r="A57" s="25"/>
      <c r="B57" s="27" t="s">
        <v>69</v>
      </c>
      <c r="C57" s="28">
        <f aca="true" t="shared" si="3" ref="C57:H57">SUM(C55:C56)</f>
        <v>1016351</v>
      </c>
      <c r="D57" s="28">
        <f t="shared" si="3"/>
        <v>73203</v>
      </c>
      <c r="E57" s="28">
        <f t="shared" si="3"/>
        <v>73203</v>
      </c>
      <c r="F57" s="29">
        <f>SUM(F55:F56)</f>
        <v>274768.43</v>
      </c>
      <c r="G57" s="39">
        <f t="shared" si="3"/>
        <v>41473</v>
      </c>
      <c r="H57" s="39">
        <f t="shared" si="3"/>
        <v>34959.94</v>
      </c>
      <c r="I57" s="40">
        <f aca="true" t="shared" si="4" ref="I57:O57">SUM(I55:I56)</f>
        <v>133493.62</v>
      </c>
      <c r="J57" s="43">
        <f t="shared" si="4"/>
        <v>38242.53</v>
      </c>
      <c r="K57" s="28">
        <f t="shared" si="4"/>
        <v>40075.53</v>
      </c>
      <c r="L57" s="31">
        <f t="shared" si="4"/>
        <v>77813.8</v>
      </c>
      <c r="M57" s="30">
        <f t="shared" si="4"/>
        <v>71763.11</v>
      </c>
      <c r="N57" s="31">
        <f t="shared" si="4"/>
        <v>71763.11</v>
      </c>
      <c r="O57" s="44">
        <f t="shared" si="4"/>
        <v>140599.29</v>
      </c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15" customHeight="1">
      <c r="A58" s="25"/>
      <c r="B58" s="14"/>
      <c r="C58" s="19"/>
      <c r="D58" s="19"/>
      <c r="E58" s="19"/>
      <c r="F58" s="35"/>
      <c r="G58" s="22"/>
      <c r="H58" s="22"/>
      <c r="I58" s="23"/>
      <c r="J58" s="20"/>
      <c r="K58" s="45"/>
      <c r="L58" s="23"/>
      <c r="M58" s="22"/>
      <c r="N58" s="23"/>
      <c r="O58" s="2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5" t="s">
        <v>70</v>
      </c>
      <c r="B59" s="14" t="s">
        <v>136</v>
      </c>
      <c r="C59" s="19"/>
      <c r="D59" s="19"/>
      <c r="E59" s="19"/>
      <c r="F59" s="20"/>
      <c r="G59" s="22"/>
      <c r="H59" s="22"/>
      <c r="I59" s="23"/>
      <c r="J59" s="20"/>
      <c r="K59" s="19"/>
      <c r="L59" s="23"/>
      <c r="M59" s="22"/>
      <c r="N59" s="23"/>
      <c r="O59" s="2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/>
      <c r="B60" s="18" t="s">
        <v>71</v>
      </c>
      <c r="C60" s="19">
        <v>51646</v>
      </c>
      <c r="D60" s="19">
        <v>2520</v>
      </c>
      <c r="E60" s="19">
        <v>2520</v>
      </c>
      <c r="F60" s="20">
        <v>1637.32</v>
      </c>
      <c r="G60" s="37">
        <v>2832</v>
      </c>
      <c r="H60" s="22">
        <v>1642.4</v>
      </c>
      <c r="I60" s="23">
        <v>990.48</v>
      </c>
      <c r="J60" s="20"/>
      <c r="K60" s="19">
        <v>2715.61</v>
      </c>
      <c r="L60" s="23">
        <v>562.35</v>
      </c>
      <c r="M60" s="22">
        <v>3275.81</v>
      </c>
      <c r="N60" s="23">
        <v>3275.81</v>
      </c>
      <c r="O60" s="24">
        <v>6839.8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20010</v>
      </c>
      <c r="D61" s="19">
        <v>916</v>
      </c>
      <c r="E61" s="19">
        <v>916</v>
      </c>
      <c r="F61" s="20">
        <v>916.16</v>
      </c>
      <c r="G61" s="37">
        <v>2023</v>
      </c>
      <c r="H61" s="22">
        <v>783.63</v>
      </c>
      <c r="I61" s="23">
        <v>529</v>
      </c>
      <c r="J61" s="46"/>
      <c r="K61" s="47">
        <v>4163.82</v>
      </c>
      <c r="L61" s="23">
        <v>529</v>
      </c>
      <c r="M61" s="22">
        <v>3405.1</v>
      </c>
      <c r="N61" s="23">
        <v>3405.1</v>
      </c>
      <c r="O61" s="24">
        <v>11856.01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0</v>
      </c>
      <c r="D62" s="19">
        <v>0</v>
      </c>
      <c r="E62" s="19">
        <v>0</v>
      </c>
      <c r="F62" s="20">
        <v>0</v>
      </c>
      <c r="G62" s="37">
        <v>0</v>
      </c>
      <c r="H62" s="22">
        <v>0</v>
      </c>
      <c r="I62" s="23">
        <v>0</v>
      </c>
      <c r="J62" s="20"/>
      <c r="K62" s="19"/>
      <c r="L62" s="23">
        <v>0</v>
      </c>
      <c r="M62" s="22">
        <v>0</v>
      </c>
      <c r="N62" s="23">
        <v>0</v>
      </c>
      <c r="O62" s="24"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4" customFormat="1" ht="15" customHeight="1">
      <c r="A63" s="25"/>
      <c r="B63" s="27" t="s">
        <v>74</v>
      </c>
      <c r="C63" s="28">
        <f aca="true" t="shared" si="5" ref="C63:H63">SUM(C60:C62)</f>
        <v>71656</v>
      </c>
      <c r="D63" s="28">
        <f t="shared" si="5"/>
        <v>3436</v>
      </c>
      <c r="E63" s="28">
        <f t="shared" si="5"/>
        <v>3436</v>
      </c>
      <c r="F63" s="29">
        <f>SUM(F60:F62)</f>
        <v>2553.48</v>
      </c>
      <c r="G63" s="30">
        <f t="shared" si="5"/>
        <v>4855</v>
      </c>
      <c r="H63" s="30">
        <f t="shared" si="5"/>
        <v>2426.03</v>
      </c>
      <c r="I63" s="31">
        <f aca="true" t="shared" si="6" ref="I63:O63">SUM(I60:I62)</f>
        <v>1519.48</v>
      </c>
      <c r="J63" s="29">
        <f t="shared" si="6"/>
        <v>0</v>
      </c>
      <c r="K63" s="28">
        <f t="shared" si="6"/>
        <v>6879.43</v>
      </c>
      <c r="L63" s="31">
        <f t="shared" si="6"/>
        <v>1091.35</v>
      </c>
      <c r="M63" s="30">
        <f t="shared" si="6"/>
        <v>6680.91</v>
      </c>
      <c r="N63" s="31">
        <f t="shared" si="6"/>
        <v>6680.91</v>
      </c>
      <c r="O63" s="32">
        <f t="shared" si="6"/>
        <v>18695.81</v>
      </c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15" customHeight="1">
      <c r="A64" s="25"/>
      <c r="B64" s="14"/>
      <c r="C64" s="19"/>
      <c r="D64" s="19"/>
      <c r="E64" s="19"/>
      <c r="F64" s="35"/>
      <c r="G64" s="22"/>
      <c r="H64" s="22"/>
      <c r="I64" s="23"/>
      <c r="J64" s="20"/>
      <c r="K64" s="36"/>
      <c r="L64" s="23"/>
      <c r="M64" s="22"/>
      <c r="N64" s="23"/>
      <c r="O64" s="2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5" t="s">
        <v>75</v>
      </c>
      <c r="B65" s="14" t="s">
        <v>137</v>
      </c>
      <c r="C65" s="19"/>
      <c r="D65" s="19"/>
      <c r="E65" s="19"/>
      <c r="F65" s="20"/>
      <c r="G65" s="22"/>
      <c r="H65" s="22"/>
      <c r="I65" s="23"/>
      <c r="J65" s="20"/>
      <c r="K65" s="19"/>
      <c r="L65" s="23"/>
      <c r="M65" s="22"/>
      <c r="N65" s="23"/>
      <c r="O65" s="24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/>
      <c r="B66" s="18" t="s">
        <v>77</v>
      </c>
      <c r="C66" s="19">
        <v>20000</v>
      </c>
      <c r="D66" s="19">
        <v>3644</v>
      </c>
      <c r="E66" s="19">
        <v>3644</v>
      </c>
      <c r="F66" s="20">
        <v>1683.44</v>
      </c>
      <c r="G66" s="22">
        <v>2324</v>
      </c>
      <c r="H66" s="22">
        <v>3390.06</v>
      </c>
      <c r="I66" s="23">
        <v>411.93</v>
      </c>
      <c r="J66" s="20"/>
      <c r="K66" s="19"/>
      <c r="L66" s="23">
        <v>289.8</v>
      </c>
      <c r="M66" s="22">
        <v>545.93</v>
      </c>
      <c r="N66" s="23">
        <v>545.93</v>
      </c>
      <c r="O66" s="24">
        <v>1500.21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78</v>
      </c>
      <c r="C67" s="19">
        <v>10000</v>
      </c>
      <c r="D67" s="19">
        <v>4401</v>
      </c>
      <c r="E67" s="19">
        <v>4401</v>
      </c>
      <c r="F67" s="20">
        <v>0</v>
      </c>
      <c r="G67" s="37">
        <v>500</v>
      </c>
      <c r="H67" s="22">
        <v>166.45</v>
      </c>
      <c r="I67" s="23">
        <v>235.72</v>
      </c>
      <c r="J67" s="20"/>
      <c r="K67" s="19">
        <v>322.25</v>
      </c>
      <c r="L67" s="23">
        <v>322.26</v>
      </c>
      <c r="M67" s="22">
        <v>500</v>
      </c>
      <c r="N67" s="23">
        <v>500</v>
      </c>
      <c r="O67" s="24">
        <v>4000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79</v>
      </c>
      <c r="C68" s="19">
        <v>302121</v>
      </c>
      <c r="D68" s="19">
        <v>64337</v>
      </c>
      <c r="E68" s="19">
        <v>64337</v>
      </c>
      <c r="F68" s="20">
        <v>63520.2</v>
      </c>
      <c r="G68" s="37">
        <v>85248</v>
      </c>
      <c r="H68" s="22">
        <v>126077.83</v>
      </c>
      <c r="I68" s="23">
        <v>104820.7</v>
      </c>
      <c r="J68" s="20">
        <v>97360</v>
      </c>
      <c r="K68" s="19">
        <v>64893</v>
      </c>
      <c r="L68" s="23">
        <v>67346.46</v>
      </c>
      <c r="M68" s="22">
        <v>70984.9</v>
      </c>
      <c r="N68" s="23">
        <v>70984.9</v>
      </c>
      <c r="O68" s="24">
        <v>128909.37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80</v>
      </c>
      <c r="C69" s="19">
        <v>186900</v>
      </c>
      <c r="D69" s="19">
        <v>60511</v>
      </c>
      <c r="E69" s="19">
        <v>60511</v>
      </c>
      <c r="F69" s="20">
        <f>13028+20.04</f>
        <v>13048.04</v>
      </c>
      <c r="G69" s="37">
        <v>0</v>
      </c>
      <c r="H69" s="22">
        <v>40854.47</v>
      </c>
      <c r="I69" s="23">
        <v>43.82</v>
      </c>
      <c r="J69" s="20"/>
      <c r="K69" s="19">
        <f>55+42.08</f>
        <v>97.08</v>
      </c>
      <c r="L69" s="23">
        <v>23.27</v>
      </c>
      <c r="M69" s="22">
        <v>100</v>
      </c>
      <c r="N69" s="23">
        <v>100</v>
      </c>
      <c r="O69" s="24">
        <f>0+200+501.54</f>
        <v>701.54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81</v>
      </c>
      <c r="C70" s="19">
        <v>1000</v>
      </c>
      <c r="D70" s="19">
        <v>137</v>
      </c>
      <c r="E70" s="19">
        <v>137</v>
      </c>
      <c r="F70" s="20">
        <v>59.86</v>
      </c>
      <c r="G70" s="37">
        <v>434</v>
      </c>
      <c r="H70" s="22">
        <v>239.1</v>
      </c>
      <c r="I70" s="23">
        <f>77.83+17.97</f>
        <v>95.8</v>
      </c>
      <c r="J70" s="20"/>
      <c r="K70" s="19"/>
      <c r="L70" s="23">
        <v>49.75</v>
      </c>
      <c r="M70" s="22">
        <v>531.23</v>
      </c>
      <c r="N70" s="23">
        <v>531.23</v>
      </c>
      <c r="O70" s="24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82</v>
      </c>
      <c r="C71" s="19">
        <v>1700</v>
      </c>
      <c r="D71" s="19">
        <v>255</v>
      </c>
      <c r="E71" s="19">
        <v>255</v>
      </c>
      <c r="F71" s="20">
        <f>7.72+446.95+255.4</f>
        <v>710.07</v>
      </c>
      <c r="G71" s="37">
        <v>41110</v>
      </c>
      <c r="H71" s="22">
        <v>118.95</v>
      </c>
      <c r="I71" s="23">
        <f>6217+129.66+109</f>
        <v>6455.66</v>
      </c>
      <c r="J71" s="20">
        <v>26958</v>
      </c>
      <c r="K71" s="19">
        <v>26958</v>
      </c>
      <c r="L71" s="23">
        <f>23684+55+5147.05</f>
        <v>28886.05</v>
      </c>
      <c r="M71" s="22">
        <v>50700</v>
      </c>
      <c r="N71" s="23">
        <v>50700</v>
      </c>
      <c r="O71" s="24">
        <f>0+40600+0</f>
        <v>40600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4" customFormat="1" ht="15" customHeight="1">
      <c r="A72" s="25"/>
      <c r="B72" s="27" t="s">
        <v>83</v>
      </c>
      <c r="C72" s="28">
        <f>SUM(C66:C71)</f>
        <v>521721</v>
      </c>
      <c r="D72" s="28">
        <f>SUM(D66:D71)</f>
        <v>133285</v>
      </c>
      <c r="E72" s="28">
        <f>SUM(E66:E71)</f>
        <v>133285</v>
      </c>
      <c r="F72" s="29">
        <f>SUM(F66:F71)</f>
        <v>79021.61</v>
      </c>
      <c r="G72" s="30">
        <f>SUM(G65:G71)</f>
        <v>129616</v>
      </c>
      <c r="H72" s="30">
        <f aca="true" t="shared" si="7" ref="H72:M72">SUM(H66:H71)</f>
        <v>170846.86000000002</v>
      </c>
      <c r="I72" s="31">
        <f>SUM(I66:I71)</f>
        <v>112063.63</v>
      </c>
      <c r="J72" s="29">
        <f t="shared" si="7"/>
        <v>124318</v>
      </c>
      <c r="K72" s="28">
        <f t="shared" si="7"/>
        <v>92270.33</v>
      </c>
      <c r="L72" s="31">
        <f>SUM(L66:L71)</f>
        <v>96917.59000000001</v>
      </c>
      <c r="M72" s="30">
        <f t="shared" si="7"/>
        <v>123362.05999999998</v>
      </c>
      <c r="N72" s="31">
        <f>SUM(N66:N71)</f>
        <v>123362.05999999998</v>
      </c>
      <c r="O72" s="44">
        <f>SUM(O66:O71)</f>
        <v>175711.12</v>
      </c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5" customHeight="1">
      <c r="A73" s="25"/>
      <c r="B73" s="14"/>
      <c r="C73" s="19"/>
      <c r="D73" s="19"/>
      <c r="E73" s="19"/>
      <c r="F73" s="35"/>
      <c r="G73" s="22"/>
      <c r="H73" s="22"/>
      <c r="I73" s="23"/>
      <c r="J73" s="20"/>
      <c r="K73" s="36"/>
      <c r="L73" s="48"/>
      <c r="M73" s="22"/>
      <c r="N73" s="23"/>
      <c r="O73" s="2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5" t="s">
        <v>84</v>
      </c>
      <c r="B74" s="14" t="s">
        <v>138</v>
      </c>
      <c r="C74" s="28">
        <v>0</v>
      </c>
      <c r="D74" s="28">
        <v>0</v>
      </c>
      <c r="E74" s="28">
        <v>0</v>
      </c>
      <c r="F74" s="29">
        <v>0</v>
      </c>
      <c r="G74" s="28">
        <v>0</v>
      </c>
      <c r="H74" s="28">
        <v>0</v>
      </c>
      <c r="I74" s="29">
        <v>0</v>
      </c>
      <c r="J74" s="28">
        <v>0</v>
      </c>
      <c r="K74" s="28">
        <v>402</v>
      </c>
      <c r="L74" s="31">
        <v>0</v>
      </c>
      <c r="M74" s="28">
        <v>0</v>
      </c>
      <c r="N74" s="29">
        <v>0</v>
      </c>
      <c r="O74" s="44">
        <v>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/>
      <c r="B75" s="14"/>
      <c r="C75" s="19"/>
      <c r="D75" s="19"/>
      <c r="E75" s="19"/>
      <c r="F75" s="35"/>
      <c r="G75" s="22"/>
      <c r="H75" s="22"/>
      <c r="I75" s="23"/>
      <c r="J75" s="20"/>
      <c r="K75" s="19"/>
      <c r="L75" s="23"/>
      <c r="M75" s="22"/>
      <c r="N75" s="23"/>
      <c r="O75" s="2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49" t="s">
        <v>85</v>
      </c>
      <c r="B76" s="14" t="s">
        <v>139</v>
      </c>
      <c r="C76" s="19"/>
      <c r="D76" s="19"/>
      <c r="E76" s="19"/>
      <c r="F76" s="20"/>
      <c r="G76" s="22"/>
      <c r="H76" s="22"/>
      <c r="I76" s="23"/>
      <c r="J76" s="20"/>
      <c r="K76" s="19"/>
      <c r="L76" s="23"/>
      <c r="M76" s="22"/>
      <c r="N76" s="23"/>
      <c r="O76" s="2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5"/>
      <c r="B77" s="18" t="s">
        <v>86</v>
      </c>
      <c r="C77" s="19">
        <v>4325</v>
      </c>
      <c r="D77" s="19">
        <v>23</v>
      </c>
      <c r="E77" s="19">
        <v>23</v>
      </c>
      <c r="F77" s="20">
        <f>21.36+125.87</f>
        <v>147.23000000000002</v>
      </c>
      <c r="G77" s="37">
        <v>270</v>
      </c>
      <c r="H77" s="22">
        <v>270</v>
      </c>
      <c r="I77" s="23">
        <f>19.96+278.98</f>
        <v>298.94</v>
      </c>
      <c r="J77" s="20"/>
      <c r="K77" s="19">
        <f>7.5+107.89</f>
        <v>115.39</v>
      </c>
      <c r="L77" s="23">
        <f>13.5+125</f>
        <v>138.5</v>
      </c>
      <c r="M77" s="22">
        <v>500</v>
      </c>
      <c r="N77" s="23">
        <v>500</v>
      </c>
      <c r="O77" s="24">
        <v>1200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87</v>
      </c>
      <c r="C78" s="19">
        <v>1200</v>
      </c>
      <c r="D78" s="19">
        <v>128</v>
      </c>
      <c r="E78" s="19">
        <v>128</v>
      </c>
      <c r="F78" s="20">
        <v>0</v>
      </c>
      <c r="G78" s="37">
        <v>0</v>
      </c>
      <c r="H78" s="22">
        <v>0</v>
      </c>
      <c r="I78" s="23">
        <v>0</v>
      </c>
      <c r="J78" s="20"/>
      <c r="K78" s="19"/>
      <c r="L78" s="50">
        <v>0</v>
      </c>
      <c r="M78" s="22">
        <v>0</v>
      </c>
      <c r="N78" s="23">
        <v>0</v>
      </c>
      <c r="O78" s="24">
        <v>500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4" customFormat="1" ht="15" customHeight="1">
      <c r="A79" s="25"/>
      <c r="B79" s="27" t="s">
        <v>88</v>
      </c>
      <c r="C79" s="28">
        <f>SUM(C77:C78)</f>
        <v>5525</v>
      </c>
      <c r="D79" s="28">
        <f>SUM(D77:D78)</f>
        <v>151</v>
      </c>
      <c r="E79" s="28">
        <f>SUM(E77:E78)</f>
        <v>151</v>
      </c>
      <c r="F79" s="29">
        <f>SUM(F77:F78)</f>
        <v>147.23000000000002</v>
      </c>
      <c r="G79" s="30">
        <f>SUM(G77:G78)</f>
        <v>270</v>
      </c>
      <c r="H79" s="30">
        <v>270</v>
      </c>
      <c r="I79" s="31">
        <f>SUM(I77:I78)</f>
        <v>298.94</v>
      </c>
      <c r="J79" s="43">
        <f>SUM(J77:J78)</f>
        <v>0</v>
      </c>
      <c r="K79" s="28">
        <f>SUM(K77:K78)</f>
        <v>115.39</v>
      </c>
      <c r="L79" s="31">
        <f>SUM(L77:L78)</f>
        <v>138.5</v>
      </c>
      <c r="M79" s="30">
        <v>500</v>
      </c>
      <c r="N79" s="31">
        <f>SUM(N77:N78)</f>
        <v>500</v>
      </c>
      <c r="O79" s="32">
        <f>SUM(O77:O78)</f>
        <v>1700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5" customHeight="1">
      <c r="A80" s="25"/>
      <c r="B80" s="14"/>
      <c r="C80" s="19"/>
      <c r="D80" s="19"/>
      <c r="E80" s="19"/>
      <c r="F80" s="35"/>
      <c r="G80" s="22"/>
      <c r="H80" s="22"/>
      <c r="I80" s="23"/>
      <c r="J80" s="20"/>
      <c r="K80" s="36"/>
      <c r="L80" s="23"/>
      <c r="M80" s="22"/>
      <c r="N80" s="23"/>
      <c r="O80" s="2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5" t="s">
        <v>89</v>
      </c>
      <c r="B81" s="14" t="s">
        <v>140</v>
      </c>
      <c r="C81" s="19"/>
      <c r="D81" s="19"/>
      <c r="E81" s="19"/>
      <c r="F81" s="20"/>
      <c r="G81" s="22"/>
      <c r="H81" s="22"/>
      <c r="I81" s="23"/>
      <c r="J81" s="20"/>
      <c r="K81" s="19"/>
      <c r="L81" s="23"/>
      <c r="M81" s="22"/>
      <c r="N81" s="23"/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/>
      <c r="B82" s="18" t="s">
        <v>90</v>
      </c>
      <c r="C82" s="19">
        <v>98695</v>
      </c>
      <c r="D82" s="19">
        <v>1852</v>
      </c>
      <c r="E82" s="19">
        <v>1852</v>
      </c>
      <c r="F82" s="20">
        <f>131.4+500</f>
        <v>631.4</v>
      </c>
      <c r="G82" s="37">
        <v>750</v>
      </c>
      <c r="H82" s="22">
        <v>0</v>
      </c>
      <c r="I82" s="23">
        <v>142.29</v>
      </c>
      <c r="J82" s="20"/>
      <c r="K82" s="19"/>
      <c r="L82" s="23">
        <f>194.27+487.78+29258.31</f>
        <v>29940.36</v>
      </c>
      <c r="M82" s="22">
        <v>0</v>
      </c>
      <c r="N82" s="23">
        <v>0</v>
      </c>
      <c r="O82" s="24">
        <v>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91</v>
      </c>
      <c r="C83" s="19">
        <v>35279</v>
      </c>
      <c r="D83" s="19">
        <v>6548</v>
      </c>
      <c r="E83" s="19">
        <v>6548</v>
      </c>
      <c r="F83" s="20">
        <v>1007.42</v>
      </c>
      <c r="G83" s="37">
        <v>16813</v>
      </c>
      <c r="H83" s="22">
        <v>11725.96</v>
      </c>
      <c r="I83" s="23">
        <v>1316.81</v>
      </c>
      <c r="J83" s="20">
        <v>8173</v>
      </c>
      <c r="K83" s="19">
        <v>9111.64</v>
      </c>
      <c r="L83" s="23">
        <v>10212.51</v>
      </c>
      <c r="M83" s="22">
        <v>9778.6</v>
      </c>
      <c r="N83" s="23">
        <v>9778.6</v>
      </c>
      <c r="O83" s="24">
        <v>16659.06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92</v>
      </c>
      <c r="C84" s="19">
        <v>732</v>
      </c>
      <c r="D84" s="19">
        <v>95</v>
      </c>
      <c r="E84" s="19">
        <v>95</v>
      </c>
      <c r="F84" s="20">
        <v>4.29</v>
      </c>
      <c r="G84" s="37">
        <v>0</v>
      </c>
      <c r="H84" s="22">
        <v>40.71</v>
      </c>
      <c r="I84" s="23">
        <v>26.45</v>
      </c>
      <c r="J84" s="20"/>
      <c r="K84" s="19"/>
      <c r="L84" s="23">
        <v>10</v>
      </c>
      <c r="M84" s="22">
        <v>125</v>
      </c>
      <c r="N84" s="23">
        <v>125</v>
      </c>
      <c r="O84" s="24">
        <v>150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93</v>
      </c>
      <c r="C85" s="19">
        <v>0</v>
      </c>
      <c r="D85" s="19">
        <v>0</v>
      </c>
      <c r="E85" s="19">
        <v>0</v>
      </c>
      <c r="F85" s="20">
        <v>0</v>
      </c>
      <c r="G85" s="37">
        <v>0</v>
      </c>
      <c r="H85" s="22">
        <v>0</v>
      </c>
      <c r="I85" s="23">
        <v>0</v>
      </c>
      <c r="J85" s="20"/>
      <c r="K85" s="19"/>
      <c r="L85" s="23">
        <v>0</v>
      </c>
      <c r="M85" s="22">
        <v>0</v>
      </c>
      <c r="N85" s="23">
        <v>0</v>
      </c>
      <c r="O85" s="24">
        <v>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141</v>
      </c>
      <c r="C86" s="19"/>
      <c r="D86" s="19"/>
      <c r="E86" s="19"/>
      <c r="F86" s="20"/>
      <c r="G86" s="37"/>
      <c r="H86" s="22"/>
      <c r="I86" s="23"/>
      <c r="J86" s="20"/>
      <c r="K86" s="19"/>
      <c r="L86" s="23"/>
      <c r="M86" s="22"/>
      <c r="N86" s="23"/>
      <c r="O86" s="2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94</v>
      </c>
      <c r="C87" s="19">
        <v>0</v>
      </c>
      <c r="D87" s="19">
        <v>0</v>
      </c>
      <c r="E87" s="19">
        <v>0</v>
      </c>
      <c r="F87" s="20">
        <v>28402.94</v>
      </c>
      <c r="G87" s="37">
        <v>29400</v>
      </c>
      <c r="H87" s="22">
        <v>0</v>
      </c>
      <c r="I87" s="23">
        <v>26556.62</v>
      </c>
      <c r="J87" s="20"/>
      <c r="K87" s="19"/>
      <c r="L87" s="23">
        <v>0</v>
      </c>
      <c r="M87" s="22">
        <v>0</v>
      </c>
      <c r="N87" s="23">
        <v>0</v>
      </c>
      <c r="O87" s="24"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51" t="s">
        <v>95</v>
      </c>
      <c r="C88" s="19">
        <v>0</v>
      </c>
      <c r="D88" s="19">
        <v>0</v>
      </c>
      <c r="E88" s="19">
        <v>0</v>
      </c>
      <c r="F88" s="20">
        <v>0</v>
      </c>
      <c r="G88" s="37">
        <v>0</v>
      </c>
      <c r="H88" s="22">
        <v>0</v>
      </c>
      <c r="I88" s="23">
        <v>0</v>
      </c>
      <c r="J88" s="20"/>
      <c r="K88" s="19"/>
      <c r="L88" s="23">
        <v>0</v>
      </c>
      <c r="M88" s="22">
        <v>0</v>
      </c>
      <c r="N88" s="23">
        <v>0</v>
      </c>
      <c r="O88" s="24">
        <v>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18" t="s">
        <v>96</v>
      </c>
      <c r="C89" s="19">
        <v>150245</v>
      </c>
      <c r="D89" s="19">
        <v>27546</v>
      </c>
      <c r="E89" s="19">
        <v>27546</v>
      </c>
      <c r="F89" s="20">
        <v>95.79</v>
      </c>
      <c r="G89" s="37">
        <v>1150</v>
      </c>
      <c r="H89" s="22">
        <v>30727.3</v>
      </c>
      <c r="I89" s="23">
        <f>53.88+299.26</f>
        <v>353.14</v>
      </c>
      <c r="J89" s="20"/>
      <c r="K89" s="19">
        <f>41.24+30496.87</f>
        <v>30538.11</v>
      </c>
      <c r="L89" s="23">
        <v>0</v>
      </c>
      <c r="M89" s="22">
        <v>30646</v>
      </c>
      <c r="N89" s="23">
        <v>30646</v>
      </c>
      <c r="O89" s="24">
        <f>175+365.52+2002+100+90+29400</f>
        <v>32132.52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4" customFormat="1" ht="15" customHeight="1">
      <c r="A90" s="25"/>
      <c r="B90" s="14" t="s">
        <v>97</v>
      </c>
      <c r="C90" s="28">
        <f>SUM(C82:C89)</f>
        <v>284951</v>
      </c>
      <c r="D90" s="28">
        <f>SUM(D82:D89)</f>
        <v>36041</v>
      </c>
      <c r="E90" s="28">
        <f>SUM(E82:E89)</f>
        <v>36041</v>
      </c>
      <c r="F90" s="29">
        <f>SUM(F82:F89)</f>
        <v>30141.84</v>
      </c>
      <c r="G90" s="30">
        <f>SUM(G82:G89)</f>
        <v>48113</v>
      </c>
      <c r="H90" s="30">
        <v>42493.97</v>
      </c>
      <c r="I90" s="31">
        <f aca="true" t="shared" si="8" ref="I90:O90">SUM(I82:I89)</f>
        <v>28395.309999999998</v>
      </c>
      <c r="J90" s="43">
        <f t="shared" si="8"/>
        <v>8173</v>
      </c>
      <c r="K90" s="28">
        <f t="shared" si="8"/>
        <v>39649.75</v>
      </c>
      <c r="L90" s="31">
        <f t="shared" si="8"/>
        <v>40162.87</v>
      </c>
      <c r="M90" s="30">
        <f t="shared" si="8"/>
        <v>40549.6</v>
      </c>
      <c r="N90" s="31">
        <f t="shared" si="8"/>
        <v>40549.6</v>
      </c>
      <c r="O90" s="44">
        <f t="shared" si="8"/>
        <v>48941.58</v>
      </c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5" customHeight="1">
      <c r="A91" s="25"/>
      <c r="B91" s="27"/>
      <c r="C91" s="19"/>
      <c r="D91" s="19"/>
      <c r="E91" s="19"/>
      <c r="F91" s="35"/>
      <c r="G91" s="22"/>
      <c r="H91" s="22"/>
      <c r="I91" s="23"/>
      <c r="J91" s="20"/>
      <c r="K91" s="36"/>
      <c r="L91" s="23"/>
      <c r="M91" s="22"/>
      <c r="N91" s="23"/>
      <c r="O91" s="2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5" t="s">
        <v>98</v>
      </c>
      <c r="B92" s="14" t="s">
        <v>142</v>
      </c>
      <c r="C92" s="19"/>
      <c r="D92" s="19"/>
      <c r="E92" s="19"/>
      <c r="F92" s="20"/>
      <c r="G92" s="22"/>
      <c r="H92" s="22"/>
      <c r="I92" s="23"/>
      <c r="J92" s="20"/>
      <c r="K92" s="19"/>
      <c r="L92" s="23"/>
      <c r="M92" s="22"/>
      <c r="N92" s="23"/>
      <c r="O92" s="24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/>
      <c r="B93" s="18" t="s">
        <v>99</v>
      </c>
      <c r="C93" s="19">
        <v>253811</v>
      </c>
      <c r="D93" s="19">
        <v>26489</v>
      </c>
      <c r="E93" s="19">
        <v>26489</v>
      </c>
      <c r="F93" s="20">
        <v>8609.82</v>
      </c>
      <c r="G93" s="37">
        <v>28668</v>
      </c>
      <c r="H93" s="22">
        <v>43483.13</v>
      </c>
      <c r="I93" s="23">
        <v>15204.99</v>
      </c>
      <c r="J93" s="20">
        <v>1637.55</v>
      </c>
      <c r="K93" s="19">
        <v>18955.87</v>
      </c>
      <c r="L93" s="23">
        <v>29531.46</v>
      </c>
      <c r="M93" s="22">
        <f>17669.34+17552.97+1674.59</f>
        <v>36896.899999999994</v>
      </c>
      <c r="N93" s="23">
        <v>36896.9</v>
      </c>
      <c r="O93" s="24">
        <f>32853.38+17249.23+5175.96</f>
        <v>55278.57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100</v>
      </c>
      <c r="C94" s="19">
        <v>43837</v>
      </c>
      <c r="D94" s="19">
        <v>4703</v>
      </c>
      <c r="E94" s="19">
        <v>4703</v>
      </c>
      <c r="F94" s="20">
        <v>1451.25</v>
      </c>
      <c r="G94" s="37">
        <v>14387</v>
      </c>
      <c r="H94" s="22">
        <v>3173.58</v>
      </c>
      <c r="I94" s="23">
        <v>2548.57</v>
      </c>
      <c r="J94" s="20">
        <v>3005</v>
      </c>
      <c r="K94" s="19">
        <v>3005</v>
      </c>
      <c r="L94" s="23">
        <v>3659.24</v>
      </c>
      <c r="M94" s="22">
        <v>14402.99</v>
      </c>
      <c r="N94" s="23">
        <v>14402.99</v>
      </c>
      <c r="O94" s="24">
        <v>17071.35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101</v>
      </c>
      <c r="C95" s="19">
        <v>57000</v>
      </c>
      <c r="D95" s="19">
        <v>11049</v>
      </c>
      <c r="E95" s="19">
        <v>11049</v>
      </c>
      <c r="F95" s="20">
        <v>3520.58</v>
      </c>
      <c r="G95" s="37">
        <v>5658</v>
      </c>
      <c r="H95" s="22">
        <v>5546.22</v>
      </c>
      <c r="I95" s="23">
        <v>2771.41</v>
      </c>
      <c r="J95" s="20"/>
      <c r="K95" s="19">
        <v>1875.41</v>
      </c>
      <c r="L95" s="23">
        <v>1875.41</v>
      </c>
      <c r="M95" s="22">
        <v>1953.52</v>
      </c>
      <c r="N95" s="23">
        <v>1953.52</v>
      </c>
      <c r="O95" s="24">
        <v>3937.21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102</v>
      </c>
      <c r="C96" s="19">
        <v>7157</v>
      </c>
      <c r="D96" s="19">
        <v>814</v>
      </c>
      <c r="E96" s="19">
        <v>814</v>
      </c>
      <c r="F96" s="20">
        <v>445.91</v>
      </c>
      <c r="G96" s="37">
        <v>878</v>
      </c>
      <c r="H96" s="22">
        <v>877.58</v>
      </c>
      <c r="I96" s="23">
        <v>305.64</v>
      </c>
      <c r="J96" s="20"/>
      <c r="K96" s="19">
        <v>187.01</v>
      </c>
      <c r="L96" s="23">
        <v>755.07</v>
      </c>
      <c r="M96" s="22">
        <v>748.48</v>
      </c>
      <c r="N96" s="23">
        <v>748.48</v>
      </c>
      <c r="O96" s="24">
        <v>2996.71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4" customFormat="1" ht="15" customHeight="1">
      <c r="A97" s="25"/>
      <c r="B97" s="27" t="s">
        <v>103</v>
      </c>
      <c r="C97" s="28">
        <f aca="true" t="shared" si="9" ref="C97:H97">SUM(C93:C96)</f>
        <v>361805</v>
      </c>
      <c r="D97" s="28">
        <f t="shared" si="9"/>
        <v>43055</v>
      </c>
      <c r="E97" s="28">
        <f t="shared" si="9"/>
        <v>43055</v>
      </c>
      <c r="F97" s="29">
        <f>SUM(F93+F94+F95+F96)</f>
        <v>14027.56</v>
      </c>
      <c r="G97" s="30">
        <f t="shared" si="9"/>
        <v>49591</v>
      </c>
      <c r="H97" s="30">
        <f t="shared" si="9"/>
        <v>53080.51</v>
      </c>
      <c r="I97" s="31">
        <f>SUM(I93:I96)</f>
        <v>20830.61</v>
      </c>
      <c r="J97" s="29">
        <f>J93+J94+J95+J96</f>
        <v>4642.55</v>
      </c>
      <c r="K97" s="28">
        <f>K93+K94+K95+K96</f>
        <v>24023.289999999997</v>
      </c>
      <c r="L97" s="31">
        <f>SUM(L93:L96)</f>
        <v>35821.18</v>
      </c>
      <c r="M97" s="30">
        <f>SUM(M93:M96)</f>
        <v>54001.88999999999</v>
      </c>
      <c r="N97" s="31">
        <f>SUM(N93:N96)</f>
        <v>54001.89</v>
      </c>
      <c r="O97" s="32">
        <f>SUM(O93:O96)</f>
        <v>79283.84000000001</v>
      </c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5" customHeight="1">
      <c r="A98" s="25"/>
      <c r="B98" s="18" t="s">
        <v>104</v>
      </c>
      <c r="C98" s="19">
        <v>110666</v>
      </c>
      <c r="D98" s="19">
        <v>40740</v>
      </c>
      <c r="E98" s="19">
        <v>40740</v>
      </c>
      <c r="F98" s="20">
        <v>21637.15</v>
      </c>
      <c r="G98" s="37">
        <v>76435</v>
      </c>
      <c r="H98" s="22">
        <v>62065.41</v>
      </c>
      <c r="I98" s="23">
        <v>33244.78</v>
      </c>
      <c r="J98" s="20">
        <v>18663.93</v>
      </c>
      <c r="K98" s="19">
        <v>18663.93</v>
      </c>
      <c r="L98" s="23">
        <v>31192.05</v>
      </c>
      <c r="M98" s="22">
        <f>56161.45+10+15107.11+700+780.52+194.66+2726.43+302+169.07+1698.86+24</f>
        <v>77874.1</v>
      </c>
      <c r="N98" s="23">
        <v>77874.1</v>
      </c>
      <c r="O98" s="24">
        <f>36229.12+200+17942.27+0+7749.15+5922+400.13+660+309.41+0+577+0+1982.4+600+5556.12+10005.94+95</f>
        <v>88228.54000000001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5"/>
      <c r="B99" s="18" t="s">
        <v>105</v>
      </c>
      <c r="C99" s="19">
        <v>776276</v>
      </c>
      <c r="D99" s="19">
        <v>119364</v>
      </c>
      <c r="E99" s="19">
        <v>119364</v>
      </c>
      <c r="F99" s="20">
        <v>65831.32</v>
      </c>
      <c r="G99" s="37">
        <v>138007</v>
      </c>
      <c r="H99" s="22">
        <v>47369.17</v>
      </c>
      <c r="I99" s="23">
        <v>15897.8</v>
      </c>
      <c r="J99" s="20">
        <v>110827.04</v>
      </c>
      <c r="K99" s="19">
        <v>104997.38</v>
      </c>
      <c r="L99" s="23">
        <v>26346.76</v>
      </c>
      <c r="M99" s="22">
        <v>42420.89</v>
      </c>
      <c r="N99" s="23">
        <v>42420.89</v>
      </c>
      <c r="O99" s="24">
        <v>62541.84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106</v>
      </c>
      <c r="C100" s="19">
        <v>96214</v>
      </c>
      <c r="D100" s="19">
        <v>17907</v>
      </c>
      <c r="E100" s="19">
        <v>17907</v>
      </c>
      <c r="F100" s="20">
        <v>4100.06</v>
      </c>
      <c r="G100" s="37">
        <v>18657</v>
      </c>
      <c r="H100" s="22">
        <v>16927.07</v>
      </c>
      <c r="I100" s="23">
        <v>6528.48</v>
      </c>
      <c r="J100" s="20">
        <v>10000</v>
      </c>
      <c r="K100" s="19">
        <v>10000</v>
      </c>
      <c r="L100" s="23">
        <v>11173.76</v>
      </c>
      <c r="M100" s="22">
        <v>16806.17</v>
      </c>
      <c r="N100" s="23">
        <v>16806.17</v>
      </c>
      <c r="O100" s="24">
        <v>32937.45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107</v>
      </c>
      <c r="C101" s="19"/>
      <c r="D101" s="19"/>
      <c r="E101" s="19"/>
      <c r="F101" s="20">
        <v>0</v>
      </c>
      <c r="G101" s="22">
        <v>0</v>
      </c>
      <c r="H101" s="22">
        <v>0</v>
      </c>
      <c r="I101" s="23">
        <v>0</v>
      </c>
      <c r="J101" s="20"/>
      <c r="K101" s="19">
        <v>2510.23</v>
      </c>
      <c r="L101" s="23">
        <v>0</v>
      </c>
      <c r="M101" s="22">
        <v>0</v>
      </c>
      <c r="N101" s="23">
        <v>0</v>
      </c>
      <c r="O101" s="24">
        <v>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108</v>
      </c>
      <c r="C102" s="19">
        <v>309336</v>
      </c>
      <c r="D102" s="19">
        <v>49285</v>
      </c>
      <c r="E102" s="19">
        <v>49285</v>
      </c>
      <c r="F102" s="20">
        <v>12000.48</v>
      </c>
      <c r="G102" s="37">
        <v>37398</v>
      </c>
      <c r="H102" s="22">
        <v>52003.09</v>
      </c>
      <c r="I102" s="23">
        <v>30296.24</v>
      </c>
      <c r="J102" s="20"/>
      <c r="K102" s="19"/>
      <c r="L102" s="23">
        <v>45785.8</v>
      </c>
      <c r="M102" s="22">
        <v>115779.2</v>
      </c>
      <c r="N102" s="23">
        <v>115779.2</v>
      </c>
      <c r="O102" s="24">
        <v>160219.67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52" t="s">
        <v>109</v>
      </c>
      <c r="C103" s="19"/>
      <c r="D103" s="19"/>
      <c r="E103" s="19"/>
      <c r="F103" s="20"/>
      <c r="G103" s="22"/>
      <c r="H103" s="22"/>
      <c r="I103" s="23"/>
      <c r="J103" s="20">
        <f>5088+7185</f>
        <v>12273</v>
      </c>
      <c r="K103" s="19">
        <f>10219+10552.88</f>
        <v>20771.879999999997</v>
      </c>
      <c r="L103" s="23"/>
      <c r="M103" s="22"/>
      <c r="N103" s="23"/>
      <c r="O103" s="2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18" t="s">
        <v>110</v>
      </c>
      <c r="C104" s="19">
        <v>460</v>
      </c>
      <c r="D104" s="19">
        <v>49</v>
      </c>
      <c r="E104" s="19">
        <v>49</v>
      </c>
      <c r="F104" s="20">
        <v>66.08</v>
      </c>
      <c r="G104" s="37">
        <v>118</v>
      </c>
      <c r="H104" s="22">
        <v>34.9</v>
      </c>
      <c r="I104" s="23">
        <v>42</v>
      </c>
      <c r="J104" s="20"/>
      <c r="K104" s="19"/>
      <c r="L104" s="23">
        <v>24.8</v>
      </c>
      <c r="M104" s="22">
        <v>71.46</v>
      </c>
      <c r="N104" s="23">
        <v>71.46</v>
      </c>
      <c r="O104" s="24">
        <v>86.9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111</v>
      </c>
      <c r="C105" s="19">
        <v>158911</v>
      </c>
      <c r="D105" s="19">
        <v>27542</v>
      </c>
      <c r="E105" s="19">
        <v>27542</v>
      </c>
      <c r="F105" s="20">
        <v>17579.8</v>
      </c>
      <c r="G105" s="37">
        <v>47570</v>
      </c>
      <c r="H105" s="22">
        <v>47569.94</v>
      </c>
      <c r="I105" s="23">
        <v>32150.88</v>
      </c>
      <c r="J105" s="20">
        <v>15851</v>
      </c>
      <c r="K105" s="19">
        <v>23541.67</v>
      </c>
      <c r="L105" s="23">
        <v>79664.35</v>
      </c>
      <c r="M105" s="22">
        <v>118572.29</v>
      </c>
      <c r="N105" s="23">
        <v>118572.29</v>
      </c>
      <c r="O105" s="24">
        <v>120089.89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112</v>
      </c>
      <c r="C106" s="19">
        <v>57956</v>
      </c>
      <c r="D106" s="19">
        <v>6037</v>
      </c>
      <c r="E106" s="19">
        <v>6037</v>
      </c>
      <c r="F106" s="20">
        <v>1498.24</v>
      </c>
      <c r="G106" s="37">
        <v>9016</v>
      </c>
      <c r="H106" s="22">
        <v>7746.47</v>
      </c>
      <c r="I106" s="23">
        <v>1303.31</v>
      </c>
      <c r="J106" s="20">
        <v>0</v>
      </c>
      <c r="K106" s="19">
        <v>162.36</v>
      </c>
      <c r="L106" s="23">
        <v>2107.33</v>
      </c>
      <c r="M106" s="22">
        <f>38.5+100.91+13023.38</f>
        <v>13162.789999999999</v>
      </c>
      <c r="N106" s="23">
        <v>13162.79</v>
      </c>
      <c r="O106" s="24">
        <f>415.6+9+200+14879.51</f>
        <v>15504.11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113</v>
      </c>
      <c r="C107" s="19">
        <v>12790</v>
      </c>
      <c r="D107" s="19">
        <v>1208</v>
      </c>
      <c r="E107" s="19">
        <v>1208</v>
      </c>
      <c r="F107" s="20">
        <v>2176.25</v>
      </c>
      <c r="G107" s="37">
        <v>6989</v>
      </c>
      <c r="H107" s="22">
        <v>6113.37</v>
      </c>
      <c r="I107" s="23">
        <v>0</v>
      </c>
      <c r="J107" s="50">
        <v>4932</v>
      </c>
      <c r="K107" s="19">
        <v>10228</v>
      </c>
      <c r="L107" s="23">
        <v>0</v>
      </c>
      <c r="M107" s="22">
        <f>10228+205.81+1763.99</f>
        <v>12197.8</v>
      </c>
      <c r="N107" s="23">
        <v>12197.8</v>
      </c>
      <c r="O107" s="24">
        <f>0+989.02+2232.99+12470+306.67+0+100</f>
        <v>16098.68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114</v>
      </c>
      <c r="C108" s="19">
        <v>34707</v>
      </c>
      <c r="D108" s="19">
        <v>4564</v>
      </c>
      <c r="E108" s="19">
        <v>4564</v>
      </c>
      <c r="F108" s="20">
        <v>2573.06</v>
      </c>
      <c r="G108" s="37">
        <v>5672</v>
      </c>
      <c r="H108" s="22">
        <v>4000</v>
      </c>
      <c r="I108" s="23">
        <v>4000</v>
      </c>
      <c r="J108" s="20">
        <v>3709.4</v>
      </c>
      <c r="K108" s="19">
        <v>1799</v>
      </c>
      <c r="L108" s="23">
        <v>1713.91</v>
      </c>
      <c r="M108" s="22">
        <v>8994.35</v>
      </c>
      <c r="N108" s="23">
        <v>8994.35</v>
      </c>
      <c r="O108" s="24">
        <v>9647.8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115</v>
      </c>
      <c r="C109" s="19">
        <v>4200</v>
      </c>
      <c r="D109" s="19">
        <v>447</v>
      </c>
      <c r="E109" s="19">
        <v>447</v>
      </c>
      <c r="F109" s="20">
        <v>860</v>
      </c>
      <c r="G109" s="37">
        <v>15421</v>
      </c>
      <c r="H109" s="22">
        <v>1715</v>
      </c>
      <c r="I109" s="23">
        <v>1485</v>
      </c>
      <c r="J109" s="20"/>
      <c r="K109" s="19">
        <f>7049.99+12997</f>
        <v>20046.989999999998</v>
      </c>
      <c r="L109" s="23">
        <v>800</v>
      </c>
      <c r="M109" s="22">
        <v>300</v>
      </c>
      <c r="N109" s="23">
        <v>300</v>
      </c>
      <c r="O109" s="24">
        <v>426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4" customFormat="1" ht="15" customHeight="1">
      <c r="A110" s="25"/>
      <c r="B110" s="27" t="s">
        <v>116</v>
      </c>
      <c r="C110" s="28">
        <f aca="true" t="shared" si="10" ref="C110:H110">SUM(C97:C109)</f>
        <v>1923321</v>
      </c>
      <c r="D110" s="28">
        <f t="shared" si="10"/>
        <v>310198</v>
      </c>
      <c r="E110" s="28">
        <f t="shared" si="10"/>
        <v>310198</v>
      </c>
      <c r="F110" s="29">
        <f>SUM(F97:F109)</f>
        <v>142349.99999999997</v>
      </c>
      <c r="G110" s="30">
        <f t="shared" si="10"/>
        <v>404874</v>
      </c>
      <c r="H110" s="30">
        <f t="shared" si="10"/>
        <v>298624.93</v>
      </c>
      <c r="I110" s="31">
        <f>SUM(I97:I109)</f>
        <v>145779.1</v>
      </c>
      <c r="J110" s="29">
        <f>J97+J98+J99+J100+J101+J103+J104+J105+J106+SUM(J107:J109)</f>
        <v>180898.91999999998</v>
      </c>
      <c r="K110" s="28">
        <f>SUM(K97:K109)</f>
        <v>236744.72999999998</v>
      </c>
      <c r="L110" s="31">
        <f>SUM(L97:L109)</f>
        <v>234629.93999999997</v>
      </c>
      <c r="M110" s="30">
        <f>SUM(M97:M109)</f>
        <v>460180.93999999994</v>
      </c>
      <c r="N110" s="31">
        <f>SUM(N97:N109)</f>
        <v>460180.93999999994</v>
      </c>
      <c r="O110" s="53">
        <f>SUM(O97:O109)</f>
        <v>585064.7200000001</v>
      </c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5" customHeight="1">
      <c r="A111" s="25"/>
      <c r="B111" s="14"/>
      <c r="C111" s="19"/>
      <c r="D111" s="19"/>
      <c r="E111" s="19"/>
      <c r="F111" s="35"/>
      <c r="G111" s="22"/>
      <c r="H111" s="22"/>
      <c r="I111" s="23"/>
      <c r="J111" s="20"/>
      <c r="K111" s="36"/>
      <c r="L111" s="23"/>
      <c r="M111" s="22"/>
      <c r="N111" s="23"/>
      <c r="O111" s="2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5" t="s">
        <v>117</v>
      </c>
      <c r="B112" s="14" t="s">
        <v>143</v>
      </c>
      <c r="C112" s="19"/>
      <c r="D112" s="19"/>
      <c r="E112" s="19"/>
      <c r="F112" s="20"/>
      <c r="G112" s="22"/>
      <c r="H112" s="22"/>
      <c r="I112" s="23"/>
      <c r="J112" s="20"/>
      <c r="K112" s="19"/>
      <c r="L112" s="23"/>
      <c r="M112" s="22"/>
      <c r="N112" s="23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/>
      <c r="B113" s="18" t="s">
        <v>118</v>
      </c>
      <c r="C113" s="19">
        <v>4560</v>
      </c>
      <c r="D113" s="19">
        <v>485</v>
      </c>
      <c r="E113" s="19">
        <v>485</v>
      </c>
      <c r="F113" s="20">
        <v>408.17</v>
      </c>
      <c r="G113" s="37">
        <v>860</v>
      </c>
      <c r="H113" s="22">
        <v>473</v>
      </c>
      <c r="I113" s="23">
        <v>0</v>
      </c>
      <c r="J113" s="20"/>
      <c r="K113" s="19"/>
      <c r="L113" s="23">
        <v>0</v>
      </c>
      <c r="M113" s="22">
        <v>500</v>
      </c>
      <c r="N113" s="23">
        <v>500</v>
      </c>
      <c r="O113" s="24">
        <v>500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119</v>
      </c>
      <c r="C114" s="19">
        <v>0</v>
      </c>
      <c r="D114" s="19">
        <v>0</v>
      </c>
      <c r="E114" s="19">
        <v>0</v>
      </c>
      <c r="F114" s="20">
        <v>0</v>
      </c>
      <c r="G114" s="37">
        <v>0</v>
      </c>
      <c r="H114" s="22">
        <v>0</v>
      </c>
      <c r="I114" s="23">
        <v>0</v>
      </c>
      <c r="J114" s="20"/>
      <c r="K114" s="19"/>
      <c r="L114" s="23">
        <v>0</v>
      </c>
      <c r="M114" s="22">
        <v>0</v>
      </c>
      <c r="N114" s="23">
        <v>0</v>
      </c>
      <c r="O114" s="24"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120</v>
      </c>
      <c r="C115" s="19">
        <v>18164</v>
      </c>
      <c r="D115" s="19">
        <v>511</v>
      </c>
      <c r="E115" s="19">
        <v>511</v>
      </c>
      <c r="F115" s="20">
        <f>2775.59-408.17</f>
        <v>2367.42</v>
      </c>
      <c r="G115" s="37">
        <v>300</v>
      </c>
      <c r="H115" s="22">
        <v>346.8</v>
      </c>
      <c r="I115" s="23">
        <v>2536.4</v>
      </c>
      <c r="J115" s="20"/>
      <c r="K115" s="19"/>
      <c r="L115" s="23">
        <v>1697.2</v>
      </c>
      <c r="M115" s="22">
        <v>100</v>
      </c>
      <c r="N115" s="23">
        <v>100</v>
      </c>
      <c r="O115" s="24">
        <v>11620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144</v>
      </c>
      <c r="C116" s="19"/>
      <c r="D116" s="19"/>
      <c r="E116" s="19"/>
      <c r="F116" s="20"/>
      <c r="G116" s="37"/>
      <c r="H116" s="22"/>
      <c r="I116" s="23"/>
      <c r="J116" s="20"/>
      <c r="K116" s="19"/>
      <c r="L116" s="23"/>
      <c r="M116" s="22"/>
      <c r="N116" s="23"/>
      <c r="O116" s="2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7">
        <v>0</v>
      </c>
      <c r="H117" s="22">
        <v>0</v>
      </c>
      <c r="I117" s="23">
        <v>0</v>
      </c>
      <c r="J117" s="20"/>
      <c r="K117" s="19"/>
      <c r="L117" s="23">
        <v>0</v>
      </c>
      <c r="M117" s="22">
        <v>0</v>
      </c>
      <c r="N117" s="23">
        <v>0</v>
      </c>
      <c r="O117" s="24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122</v>
      </c>
      <c r="C118" s="19">
        <v>137294</v>
      </c>
      <c r="D118" s="19">
        <v>20520</v>
      </c>
      <c r="E118" s="19">
        <v>20520</v>
      </c>
      <c r="F118" s="20">
        <f>190.91+10000+1473.56+2971.83+1142.61+705.52+9192.5</f>
        <v>25676.93</v>
      </c>
      <c r="G118" s="37">
        <v>3175</v>
      </c>
      <c r="H118" s="22">
        <v>3174.5</v>
      </c>
      <c r="I118" s="23">
        <f>25.25+9769.98+1094.51+688.24+1440.67+935.76+6.02+1500</f>
        <v>15460.43</v>
      </c>
      <c r="J118" s="20"/>
      <c r="K118" s="19"/>
      <c r="L118" s="23">
        <f>9966+1030+2.91+1719.23</f>
        <v>12718.14</v>
      </c>
      <c r="M118" s="22">
        <v>6395</v>
      </c>
      <c r="N118" s="23">
        <v>6395</v>
      </c>
      <c r="O118" s="24">
        <v>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4" customFormat="1" ht="15" customHeight="1">
      <c r="A119" s="25"/>
      <c r="B119" s="27" t="s">
        <v>123</v>
      </c>
      <c r="C119" s="28">
        <f aca="true" t="shared" si="11" ref="C119:K119">SUM(C113:C118)</f>
        <v>160018</v>
      </c>
      <c r="D119" s="28">
        <f t="shared" si="11"/>
        <v>21516</v>
      </c>
      <c r="E119" s="28">
        <f t="shared" si="11"/>
        <v>21516</v>
      </c>
      <c r="F119" s="29">
        <f>SUM(F113:F118)</f>
        <v>28452.52</v>
      </c>
      <c r="G119" s="30">
        <f t="shared" si="11"/>
        <v>4335</v>
      </c>
      <c r="H119" s="30">
        <f t="shared" si="11"/>
        <v>3994.3</v>
      </c>
      <c r="I119" s="31">
        <f>SUM(I113:I118)</f>
        <v>17996.83</v>
      </c>
      <c r="J119" s="29">
        <f t="shared" si="11"/>
        <v>0</v>
      </c>
      <c r="K119" s="28">
        <f t="shared" si="11"/>
        <v>0</v>
      </c>
      <c r="L119" s="31">
        <f>SUM(L112:L118)</f>
        <v>14415.34</v>
      </c>
      <c r="M119" s="30">
        <f>SUM(M113:M118)</f>
        <v>6995</v>
      </c>
      <c r="N119" s="31">
        <f>SUM(N113:N118)</f>
        <v>6995</v>
      </c>
      <c r="O119" s="32">
        <f>SUM(O113:O118)</f>
        <v>12120</v>
      </c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:34" ht="15" customHeight="1">
      <c r="A120" s="25"/>
      <c r="B120" s="27"/>
      <c r="C120" s="19"/>
      <c r="D120" s="19"/>
      <c r="E120" s="19"/>
      <c r="F120" s="29"/>
      <c r="G120" s="30"/>
      <c r="H120" s="30"/>
      <c r="I120" s="31"/>
      <c r="J120" s="20"/>
      <c r="K120" s="36"/>
      <c r="L120" s="31"/>
      <c r="M120" s="30"/>
      <c r="N120" s="54"/>
      <c r="O120" s="3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4" customFormat="1" ht="15" customHeight="1" thickBot="1">
      <c r="A121" s="55"/>
      <c r="B121" s="56" t="s">
        <v>124</v>
      </c>
      <c r="C121" s="57">
        <f>SUM(C25+C43+C45+C52+C57+C63+C72+C74+C79+C90+C110+C119)</f>
        <v>6663200</v>
      </c>
      <c r="D121" s="57">
        <f>SUM(D25+D43+D45+D52+D57+D63+D72+D74+D79+D90+D110+D119)</f>
        <v>1156200</v>
      </c>
      <c r="E121" s="57">
        <f>SUM(E25+E43+E45+E52+E57+E63+E72+E74+E79+E90+E110+E119)</f>
        <v>1156200</v>
      </c>
      <c r="F121" s="58">
        <f>+F25+F43+F45+F52+F57+F63+F72+F74+F79+F90+F110+F119</f>
        <v>773898.24</v>
      </c>
      <c r="G121" s="57">
        <f aca="true" t="shared" si="12" ref="G121:M121">SUM(G25+G43+G45+G52+G57+G63+G72+G74+G79+G90+G110+G119)</f>
        <v>1204920</v>
      </c>
      <c r="H121" s="57">
        <f t="shared" si="12"/>
        <v>1050000</v>
      </c>
      <c r="I121" s="58">
        <f>+I25+I43+I45+I52+I57+I63+I72+I74+I79+I90+I110+I119</f>
        <v>818768.7399999998</v>
      </c>
      <c r="J121" s="57">
        <f t="shared" si="12"/>
        <v>944673</v>
      </c>
      <c r="K121" s="57">
        <f t="shared" si="12"/>
        <v>966525.18</v>
      </c>
      <c r="L121" s="58">
        <f>SUM(L25+L43+L45+L52+L57+L63+L72+L74+L79+L90+L110+L119)</f>
        <v>981741.9399999998</v>
      </c>
      <c r="M121" s="57">
        <f t="shared" si="12"/>
        <v>1100000</v>
      </c>
      <c r="N121" s="59">
        <f>+N25+N43+N45+N52+N57+N63+N72+N74+N79+N90+N110+N119</f>
        <v>1100000</v>
      </c>
      <c r="O121" s="60">
        <f>O25+O43+O45+O52+O57+O63+O72+O74+O79+O90+O110+O119</f>
        <v>1482900</v>
      </c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:34" ht="15.75">
      <c r="A122" s="25"/>
      <c r="B122" s="61"/>
      <c r="C122" s="62"/>
      <c r="D122" s="62"/>
      <c r="E122" s="62"/>
      <c r="F122" s="62"/>
      <c r="J122" s="62"/>
      <c r="K122" s="62"/>
      <c r="L122" s="6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63"/>
      <c r="B123" s="64" t="s">
        <v>125</v>
      </c>
      <c r="C123" s="65" t="s">
        <v>126</v>
      </c>
      <c r="D123" s="66"/>
      <c r="E123" s="66"/>
      <c r="F123" s="66"/>
      <c r="J123" s="66"/>
      <c r="K123" s="66"/>
      <c r="L123" s="66"/>
    </row>
    <row r="124" spans="1:12" ht="15">
      <c r="A124" s="63"/>
      <c r="B124" s="67"/>
      <c r="C124" s="66"/>
      <c r="D124" s="66"/>
      <c r="E124" s="66"/>
      <c r="F124" s="66"/>
      <c r="J124" s="66"/>
      <c r="K124" s="66"/>
      <c r="L124" s="66"/>
    </row>
    <row r="125" spans="1:12" ht="15">
      <c r="A125" s="63"/>
      <c r="B125" s="67"/>
      <c r="C125" s="66"/>
      <c r="D125" s="66"/>
      <c r="E125" s="66"/>
      <c r="F125" s="66"/>
      <c r="J125" s="66"/>
      <c r="K125" s="66"/>
      <c r="L125" s="66"/>
    </row>
    <row r="126" spans="1:12" ht="15">
      <c r="A126" s="63"/>
      <c r="B126" s="67"/>
      <c r="C126" s="66"/>
      <c r="D126" s="66"/>
      <c r="E126" s="66"/>
      <c r="F126" s="66"/>
      <c r="J126" s="66"/>
      <c r="K126" s="66"/>
      <c r="L126" s="66"/>
    </row>
    <row r="127" spans="1:12" ht="15">
      <c r="A127" s="63"/>
      <c r="B127" s="67"/>
      <c r="C127" s="66"/>
      <c r="D127" s="66"/>
      <c r="E127" s="66"/>
      <c r="F127" s="66"/>
      <c r="J127" s="66"/>
      <c r="K127" s="66"/>
      <c r="L127" s="66"/>
    </row>
    <row r="128" spans="1:12" ht="15">
      <c r="A128" s="63"/>
      <c r="B128" s="67"/>
      <c r="C128" s="66"/>
      <c r="D128" s="66"/>
      <c r="E128" s="66"/>
      <c r="F128" s="66"/>
      <c r="J128" s="66"/>
      <c r="K128" s="66"/>
      <c r="L128" s="66"/>
    </row>
    <row r="129" spans="1:12" ht="15">
      <c r="A129" s="63"/>
      <c r="B129" s="67"/>
      <c r="C129" s="66"/>
      <c r="D129" s="66"/>
      <c r="E129" s="66"/>
      <c r="F129" s="66"/>
      <c r="J129" s="66"/>
      <c r="K129" s="66"/>
      <c r="L129" s="66"/>
    </row>
    <row r="130" spans="1:12" ht="15">
      <c r="A130" s="63"/>
      <c r="B130" s="67"/>
      <c r="C130" s="66"/>
      <c r="D130" s="66"/>
      <c r="E130" s="66"/>
      <c r="F130" s="66"/>
      <c r="J130" s="66"/>
      <c r="K130" s="66"/>
      <c r="L130" s="66"/>
    </row>
    <row r="131" spans="1:12" ht="15">
      <c r="A131" s="63"/>
      <c r="B131" s="67"/>
      <c r="C131" s="66"/>
      <c r="D131" s="66"/>
      <c r="E131" s="66"/>
      <c r="F131" s="66"/>
      <c r="J131" s="66"/>
      <c r="K131" s="66"/>
      <c r="L131" s="66"/>
    </row>
    <row r="132" spans="1:12" ht="15">
      <c r="A132" s="63"/>
      <c r="B132" s="67"/>
      <c r="C132" s="66"/>
      <c r="D132" s="66"/>
      <c r="E132" s="66"/>
      <c r="F132" s="66"/>
      <c r="J132" s="66"/>
      <c r="K132" s="66"/>
      <c r="L132" s="66"/>
    </row>
    <row r="133" spans="1:12" ht="15">
      <c r="A133" s="63"/>
      <c r="B133" s="67"/>
      <c r="C133" s="66"/>
      <c r="D133" s="66"/>
      <c r="E133" s="66"/>
      <c r="F133" s="66"/>
      <c r="J133" s="66"/>
      <c r="K133" s="66"/>
      <c r="L133" s="66"/>
    </row>
    <row r="134" spans="1:12" ht="15">
      <c r="A134" s="63"/>
      <c r="B134" s="67"/>
      <c r="C134" s="66"/>
      <c r="D134" s="66"/>
      <c r="E134" s="66"/>
      <c r="F134" s="66"/>
      <c r="J134" s="66"/>
      <c r="K134" s="66"/>
      <c r="L134" s="66"/>
    </row>
    <row r="135" spans="1:12" ht="15">
      <c r="A135" s="63"/>
      <c r="B135" s="67"/>
      <c r="C135" s="66"/>
      <c r="D135" s="66"/>
      <c r="E135" s="66"/>
      <c r="F135" s="66"/>
      <c r="J135" s="66"/>
      <c r="K135" s="66"/>
      <c r="L135" s="66"/>
    </row>
    <row r="136" spans="1:12" ht="15">
      <c r="A136" s="63"/>
      <c r="B136" s="67"/>
      <c r="C136" s="66"/>
      <c r="D136" s="66"/>
      <c r="E136" s="66"/>
      <c r="F136" s="66"/>
      <c r="J136" s="66"/>
      <c r="K136" s="66"/>
      <c r="L136" s="66"/>
    </row>
    <row r="137" spans="1:12" ht="15">
      <c r="A137" s="63"/>
      <c r="B137" s="67"/>
      <c r="C137" s="66"/>
      <c r="D137" s="66"/>
      <c r="E137" s="66"/>
      <c r="F137" s="66"/>
      <c r="J137" s="66"/>
      <c r="K137" s="66"/>
      <c r="L137" s="66"/>
    </row>
    <row r="138" spans="1:12" ht="15">
      <c r="A138" s="63"/>
      <c r="B138" s="67"/>
      <c r="C138" s="66"/>
      <c r="D138" s="66"/>
      <c r="E138" s="66"/>
      <c r="F138" s="66"/>
      <c r="J138" s="66"/>
      <c r="K138" s="66"/>
      <c r="L138" s="66"/>
    </row>
    <row r="139" spans="1:12" ht="15">
      <c r="A139" s="63"/>
      <c r="B139" s="67"/>
      <c r="C139" s="66"/>
      <c r="D139" s="66"/>
      <c r="E139" s="66"/>
      <c r="F139" s="66"/>
      <c r="J139" s="66"/>
      <c r="K139" s="66"/>
      <c r="L139" s="66"/>
    </row>
    <row r="140" spans="1:12" ht="15">
      <c r="A140" s="63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5">
      <c r="A141" s="63"/>
      <c r="B141" s="67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5">
      <c r="A142" s="63"/>
      <c r="B142" s="67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5">
      <c r="A143" s="63"/>
      <c r="B143" s="67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5">
      <c r="A144" s="63"/>
      <c r="B144" s="67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5">
      <c r="A145" s="63"/>
      <c r="B145" s="67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5">
      <c r="A146" s="63"/>
      <c r="B146" s="67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5">
      <c r="A147" s="63"/>
      <c r="B147" s="67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5">
      <c r="A148" s="63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5">
      <c r="A149" s="63"/>
      <c r="B149" s="67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5">
      <c r="A150" s="63"/>
      <c r="B150" s="67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5">
      <c r="A151" s="63"/>
      <c r="B151" s="67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5">
      <c r="A152" s="63"/>
      <c r="B152" s="67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5">
      <c r="A153" s="63"/>
      <c r="B153" s="67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5">
      <c r="A154" s="63"/>
      <c r="B154" s="67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5">
      <c r="A155" s="63"/>
      <c r="B155" s="67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5">
      <c r="A156" s="63"/>
      <c r="B156" s="67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5">
      <c r="A157" s="63"/>
      <c r="B157" s="67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5">
      <c r="A158" s="63"/>
      <c r="B158" s="67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5">
      <c r="A159" s="63"/>
      <c r="B159" s="67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5">
      <c r="A160" s="63"/>
      <c r="B160" s="67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5">
      <c r="A161" s="63"/>
      <c r="B161" s="67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5">
      <c r="A162" s="63"/>
      <c r="B162" s="67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5">
      <c r="A163" s="63"/>
      <c r="B163" s="67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5">
      <c r="A164" s="63"/>
      <c r="B164" s="67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5">
      <c r="A165" s="63"/>
      <c r="B165" s="67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5">
      <c r="A166" s="63"/>
      <c r="B166" s="67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5">
      <c r="A167" s="63"/>
      <c r="B167" s="67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5">
      <c r="A168" s="63"/>
      <c r="B168" s="67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5">
      <c r="A169" s="63"/>
      <c r="B169" s="67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5">
      <c r="A170" s="63"/>
      <c r="B170" s="67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5">
      <c r="A171" s="63"/>
      <c r="B171" s="67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5">
      <c r="A172" s="63"/>
      <c r="B172" s="67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5">
      <c r="A173" s="63"/>
      <c r="B173" s="67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5">
      <c r="A174" s="63"/>
      <c r="B174" s="67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5">
      <c r="A175" s="63"/>
      <c r="B175" s="67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5">
      <c r="A176" s="63"/>
      <c r="B176" s="67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5">
      <c r="A177" s="63"/>
      <c r="B177" s="67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5">
      <c r="A178" s="63"/>
      <c r="B178" s="67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5">
      <c r="A179" s="63"/>
      <c r="B179" s="67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5">
      <c r="A180" s="63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5">
      <c r="A181" s="63"/>
      <c r="B181" s="67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5">
      <c r="A182" s="63"/>
      <c r="B182" s="67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5">
      <c r="A183" s="63"/>
      <c r="B183" s="67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5">
      <c r="A184" s="63"/>
      <c r="B184" s="67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5">
      <c r="A185" s="63"/>
      <c r="B185" s="67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5">
      <c r="A186" s="63"/>
      <c r="B186" s="67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5">
      <c r="A187" s="63"/>
      <c r="B187" s="67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5">
      <c r="A188" s="63"/>
      <c r="B188" s="67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5">
      <c r="A189" s="63"/>
      <c r="B189" s="67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5">
      <c r="A190" s="63"/>
      <c r="B190" s="67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5">
      <c r="A191" s="63"/>
      <c r="B191" s="67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5">
      <c r="A192" s="63"/>
      <c r="B192" s="67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5">
      <c r="A193" s="63"/>
      <c r="B193" s="67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5">
      <c r="A194" s="63"/>
      <c r="B194" s="67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5">
      <c r="A195" s="63"/>
      <c r="B195" s="67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5">
      <c r="A196" s="63"/>
      <c r="B196" s="67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5">
      <c r="A197" s="63"/>
      <c r="B197" s="67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5">
      <c r="A198" s="63"/>
      <c r="B198" s="67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5">
      <c r="A199" s="63"/>
      <c r="B199" s="67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5">
      <c r="A200" s="63"/>
      <c r="B200" s="67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5">
      <c r="A201" s="63"/>
      <c r="B201" s="67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5">
      <c r="A202" s="63"/>
      <c r="B202" s="67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5">
      <c r="A203" s="63"/>
      <c r="B203" s="67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5">
      <c r="A204" s="63"/>
      <c r="B204" s="67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5">
      <c r="A205" s="63"/>
      <c r="B205" s="67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5">
      <c r="A206" s="63"/>
      <c r="B206" s="67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5">
      <c r="A207" s="63"/>
      <c r="B207" s="67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5">
      <c r="A208" s="63"/>
      <c r="B208" s="67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5">
      <c r="A209" s="63"/>
      <c r="B209" s="67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5">
      <c r="A210" s="63"/>
      <c r="B210" s="67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5">
      <c r="A211" s="63"/>
      <c r="B211" s="67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5">
      <c r="A212" s="63"/>
      <c r="B212" s="67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5">
      <c r="A213" s="63"/>
      <c r="B213" s="67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5">
      <c r="A214" s="63"/>
      <c r="B214" s="67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5">
      <c r="A215" s="63"/>
      <c r="B215" s="67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5">
      <c r="A216" s="63"/>
      <c r="B216" s="67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5">
      <c r="A217" s="63"/>
      <c r="B217" s="67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5">
      <c r="A218" s="63"/>
      <c r="B218" s="67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5">
      <c r="A219" s="63"/>
      <c r="B219" s="67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5">
      <c r="A220" s="63"/>
      <c r="B220" s="67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5">
      <c r="A221" s="63"/>
      <c r="B221" s="67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5">
      <c r="A222" s="63"/>
      <c r="B222" s="67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5">
      <c r="A223" s="63"/>
      <c r="B223" s="67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5">
      <c r="A224" s="63"/>
      <c r="B224" s="67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5">
      <c r="A225" s="63"/>
      <c r="B225" s="67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5">
      <c r="A226" s="63"/>
      <c r="B226" s="67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5">
      <c r="A227" s="63"/>
      <c r="B227" s="67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5">
      <c r="A228" s="63"/>
      <c r="B228" s="67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5">
      <c r="A229" s="63"/>
      <c r="B229" s="67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5">
      <c r="A230" s="63"/>
      <c r="B230" s="67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5">
      <c r="A231" s="63"/>
      <c r="B231" s="67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5">
      <c r="A232" s="63"/>
      <c r="B232" s="67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5">
      <c r="A233" s="63"/>
      <c r="B233" s="67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5">
      <c r="A234" s="63"/>
      <c r="B234" s="67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5">
      <c r="A235" s="63"/>
      <c r="B235" s="67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5">
      <c r="A236" s="63"/>
      <c r="B236" s="67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5">
      <c r="A237" s="63"/>
      <c r="B237" s="67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5">
      <c r="A238" s="63"/>
      <c r="B238" s="67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5">
      <c r="A239" s="63"/>
      <c r="B239" s="67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5">
      <c r="A240" s="63"/>
      <c r="B240" s="67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5">
      <c r="A241" s="63"/>
      <c r="B241" s="67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5">
      <c r="A242" s="63"/>
      <c r="B242" s="67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5">
      <c r="A243" s="63"/>
      <c r="B243" s="67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5">
      <c r="A244" s="63"/>
      <c r="B244" s="67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5">
      <c r="A245" s="63"/>
      <c r="B245" s="67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5">
      <c r="A246" s="63"/>
      <c r="B246" s="67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5">
      <c r="A247" s="63"/>
      <c r="B247" s="67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5">
      <c r="A248" s="63"/>
      <c r="B248" s="67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5">
      <c r="A249" s="63"/>
      <c r="B249" s="67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5">
      <c r="A250" s="63"/>
      <c r="B250" s="67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5">
      <c r="A251" s="63"/>
      <c r="B251" s="67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5">
      <c r="A252" s="63"/>
      <c r="B252" s="67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5">
      <c r="A253" s="63"/>
      <c r="B253" s="67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5">
      <c r="A254" s="63"/>
      <c r="B254" s="67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5">
      <c r="A255" s="63"/>
      <c r="B255" s="67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5">
      <c r="A256" s="63"/>
      <c r="B256" s="67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2006-09-06T12:14:51Z</cp:lastPrinted>
  <dcterms:created xsi:type="dcterms:W3CDTF">2006-09-06T12:14:04Z</dcterms:created>
  <dcterms:modified xsi:type="dcterms:W3CDTF">2006-09-06T12:27:45Z</dcterms:modified>
  <cp:category/>
  <cp:version/>
  <cp:contentType/>
  <cp:contentStatus/>
</cp:coreProperties>
</file>