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adhya Pradesh(F)" sheetId="1" r:id="rId1"/>
  </sheets>
  <definedNames>
    <definedName name="_xlnm.Print_Area" localSheetId="0">'Madhya Pradesh(F)'!$A$1:$O$123</definedName>
    <definedName name="_xlnm.Print_Titles" localSheetId="0">'Madhya Pradesh(F)'!$A:$B,'Madhya Pradesh(F)'!$1:$7</definedName>
  </definedNames>
  <calcPr fullCalcOnLoad="1"/>
</workbook>
</file>

<file path=xl/sharedStrings.xml><?xml version="1.0" encoding="utf-8"?>
<sst xmlns="http://schemas.openxmlformats.org/spreadsheetml/2006/main" count="154" uniqueCount="144">
  <si>
    <t xml:space="preserve">FINANCIAL PERFORMANCE OF MADHYA PRADESH DURING TENTH PLAN </t>
  </si>
  <si>
    <t>(Rs. Lakhs)</t>
  </si>
  <si>
    <t>Sl. No.</t>
  </si>
  <si>
    <t>Major Heads/Minor Heads of Development</t>
  </si>
  <si>
    <t>Tenth Plan - 2002-07   Projected Outlay</t>
  </si>
  <si>
    <t>Annual Plan - 2002-03</t>
  </si>
  <si>
    <t>Annual Plan - 2003-04</t>
  </si>
  <si>
    <t>Annual Plan - 2004-05</t>
  </si>
  <si>
    <t>Annual Plan - 2005-06</t>
  </si>
  <si>
    <t>Annual Plan - 2006-07  Approved Outlay</t>
  </si>
  <si>
    <t>Approved Outlay</t>
  </si>
  <si>
    <t>Revised Outlay</t>
  </si>
  <si>
    <t>Actual Expenditure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</si>
  <si>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</si>
  <si>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</si>
  <si>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</si>
  <si>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</si>
  <si>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</si>
  <si>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</si>
  <si>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</si>
  <si>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</si>
  <si>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</si>
  <si>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</si>
  <si>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</si>
  <si>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</si>
  <si>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</si>
  <si>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</si>
  <si>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</si>
  <si>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</t>
  </si>
  <si>
    <t xml:space="preserve">1. Crop Husbandry </t>
  </si>
  <si>
    <t>2. Horticulture</t>
  </si>
  <si>
    <t xml:space="preserve">3. Soil and Water Conservation (including </t>
  </si>
  <si>
    <t xml:space="preserve">    control of shifting cultivation)</t>
  </si>
  <si>
    <t>4. Animal Husbandry</t>
  </si>
  <si>
    <t>5. Dairy Development</t>
  </si>
  <si>
    <t>6. Fisheries</t>
  </si>
  <si>
    <t>7. Forestry &amp; Wildlife</t>
  </si>
  <si>
    <t>8. Plantations</t>
  </si>
  <si>
    <t>9. Food,Storage &amp; Warehousing</t>
  </si>
  <si>
    <t>10. Agricultural Research &amp; Education</t>
  </si>
  <si>
    <t>11. Agricultural Financial Institutions</t>
  </si>
  <si>
    <t>12. Cooperation</t>
  </si>
  <si>
    <t xml:space="preserve">       (a) Agriculture marketing</t>
  </si>
  <si>
    <t xml:space="preserve">       (b) Others </t>
  </si>
  <si>
    <t>Total - (I)</t>
  </si>
  <si>
    <t xml:space="preserve">II. </t>
  </si>
  <si>
    <t xml:space="preserve">(a) Drought Prone Area Programme (DPAP) </t>
  </si>
  <si>
    <t xml:space="preserve">(b) Desert Development Programme (DDP) </t>
  </si>
  <si>
    <t>(c)  Integrated Rural Energy Programme (IREP)</t>
  </si>
  <si>
    <t>(d) Integrated Wasteland Development Projects</t>
  </si>
  <si>
    <t>(e) Swaranjayanti Gram Swarozgar Yojana (SGSY)</t>
  </si>
  <si>
    <t>(f) DRDA Administration</t>
  </si>
  <si>
    <t xml:space="preserve">(g) Others </t>
  </si>
  <si>
    <t>(a) Sampoorna Gram Rozgar Yojana (SGRY)</t>
  </si>
  <si>
    <t xml:space="preserve">(b) Others </t>
  </si>
  <si>
    <t>3. Land Reforms</t>
  </si>
  <si>
    <t>(a) Community Development &amp; Panchayts</t>
  </si>
  <si>
    <t>(b) Other Programmes of Rural Development</t>
  </si>
  <si>
    <t>TOTAL - II</t>
  </si>
  <si>
    <t>III.</t>
  </si>
  <si>
    <t>IV.</t>
  </si>
  <si>
    <t>1. Major and Medium Irrigation</t>
  </si>
  <si>
    <t>2. Minor Irrigation</t>
  </si>
  <si>
    <t>3. Command Area Development (Including AIBP)</t>
  </si>
  <si>
    <t>4. Flood Control (includes flood protection works)</t>
  </si>
  <si>
    <t>TOTAL - IV</t>
  </si>
  <si>
    <t>V.</t>
  </si>
  <si>
    <t xml:space="preserve">1. Power </t>
  </si>
  <si>
    <t>2. Non-conventional Sources of Energy</t>
  </si>
  <si>
    <t>TOTAL - V</t>
  </si>
  <si>
    <t xml:space="preserve">VI. </t>
  </si>
  <si>
    <t>1. Village &amp; Small Industries</t>
  </si>
  <si>
    <t>2. Other Industries (Other than VSI)</t>
  </si>
  <si>
    <t>4. Minerals</t>
  </si>
  <si>
    <t>TOTAL - (VI)</t>
  </si>
  <si>
    <t>VII.</t>
  </si>
  <si>
    <t xml:space="preserve"> </t>
  </si>
  <si>
    <t>1. Ports &amp; Light Houses</t>
  </si>
  <si>
    <t>2. Civil Aviation</t>
  </si>
  <si>
    <t>3. Roads and Bridges</t>
  </si>
  <si>
    <t>4. Roads Transport</t>
  </si>
  <si>
    <t>5. Inland Water Transport</t>
  </si>
  <si>
    <t>6. Other Transport Services</t>
  </si>
  <si>
    <t>TOTAL - (VII)</t>
  </si>
  <si>
    <t>VIII.</t>
  </si>
  <si>
    <t>IX</t>
  </si>
  <si>
    <t xml:space="preserve">1. Scientific Research </t>
  </si>
  <si>
    <t>2. Ecology &amp; Environment</t>
  </si>
  <si>
    <t>TOTAL - (IX)</t>
  </si>
  <si>
    <t>X.</t>
  </si>
  <si>
    <t>1. Secretariat Economic Services</t>
  </si>
  <si>
    <t>2. Tourism</t>
  </si>
  <si>
    <t>3. Census, Surveys &amp; Statistics</t>
  </si>
  <si>
    <t>4. Civil Supplies</t>
  </si>
  <si>
    <t>a)District Planning / District Councils</t>
  </si>
  <si>
    <t>b) Weights &amp; Measures</t>
  </si>
  <si>
    <t xml:space="preserve">c) Others </t>
  </si>
  <si>
    <t>TOTAL - (X)</t>
  </si>
  <si>
    <t>XI.</t>
  </si>
  <si>
    <t>1. General Education</t>
  </si>
  <si>
    <t>2. Technical Education</t>
  </si>
  <si>
    <t>3. Sports &amp; Youth Services</t>
  </si>
  <si>
    <t>4. Art &amp; Culture</t>
  </si>
  <si>
    <t>Sub-Total (Education)</t>
  </si>
  <si>
    <t>5. Medical &amp; Public Health</t>
  </si>
  <si>
    <t>6. Water Supply &amp; Sanitation</t>
  </si>
  <si>
    <t xml:space="preserve">7. Housing (incl. Police Housing)                       </t>
  </si>
  <si>
    <t xml:space="preserve">    (I) Indira Awaas Yojana (IAY)</t>
  </si>
  <si>
    <t>8. Urban Development</t>
  </si>
  <si>
    <t xml:space="preserve">      (incl. State Capital Projects &amp; slum Area Development)</t>
  </si>
  <si>
    <t>9. Information &amp; Publicity</t>
  </si>
  <si>
    <t>10. Welfare of SCs,STs &amp; OBCs</t>
  </si>
  <si>
    <t>11. Labour &amp; Employment</t>
  </si>
  <si>
    <t>12. Social Security &amp; Social Welfare</t>
  </si>
  <si>
    <t>13. Nutrition</t>
  </si>
  <si>
    <t>14. Other Social Services.</t>
  </si>
  <si>
    <t>TOTAL - (XI)</t>
  </si>
  <si>
    <t>XII.</t>
  </si>
  <si>
    <t>1. Jails</t>
  </si>
  <si>
    <t>2. Stationery &amp; Printing</t>
  </si>
  <si>
    <t>3. Public Works</t>
  </si>
  <si>
    <t xml:space="preserve">   (a) Training</t>
  </si>
  <si>
    <t xml:space="preserve">   (b) Others</t>
  </si>
  <si>
    <t>TOTAL - (XII)</t>
  </si>
  <si>
    <t>GRAND TOTAL</t>
  </si>
  <si>
    <t>updated on 6th September, 2006</t>
  </si>
  <si>
    <r>
      <t xml:space="preserve"> </t>
    </r>
    <r>
      <rPr>
        <b/>
        <u val="single"/>
        <sz val="11"/>
        <rFont val="Bookman Old Style"/>
        <family val="1"/>
      </rPr>
      <t>Agriculture &amp; Allied Activities</t>
    </r>
  </si>
  <si>
    <r>
      <t xml:space="preserve">13. </t>
    </r>
    <r>
      <rPr>
        <b/>
        <u val="single"/>
        <sz val="11"/>
        <rFont val="Bookman Old Style"/>
        <family val="1"/>
      </rPr>
      <t>Other Agricultural Programmes</t>
    </r>
    <r>
      <rPr>
        <b/>
        <sz val="11"/>
        <rFont val="Bookman Old Style"/>
        <family val="1"/>
      </rPr>
      <t xml:space="preserve"> :</t>
    </r>
  </si>
  <si>
    <r>
      <t xml:space="preserve"> </t>
    </r>
    <r>
      <rPr>
        <b/>
        <u val="single"/>
        <sz val="11"/>
        <rFont val="Bookman Old Style"/>
        <family val="1"/>
      </rPr>
      <t>Rural Development</t>
    </r>
  </si>
  <si>
    <r>
      <t xml:space="preserve">1. </t>
    </r>
    <r>
      <rPr>
        <b/>
        <u val="single"/>
        <sz val="11"/>
        <rFont val="Bookman Old Style"/>
        <family val="1"/>
      </rPr>
      <t>Special Programme for Rural Development</t>
    </r>
    <r>
      <rPr>
        <u val="single"/>
        <sz val="11"/>
        <rFont val="Bookman Old Style"/>
        <family val="1"/>
      </rPr>
      <t xml:space="preserve"> </t>
    </r>
    <r>
      <rPr>
        <sz val="11"/>
        <rFont val="Bookman Old Style"/>
        <family val="1"/>
      </rPr>
      <t>:</t>
    </r>
  </si>
  <si>
    <r>
      <t xml:space="preserve">2. </t>
    </r>
    <r>
      <rPr>
        <b/>
        <u val="single"/>
        <sz val="11"/>
        <rFont val="Bookman Old Style"/>
        <family val="1"/>
      </rPr>
      <t>Rural Employment</t>
    </r>
  </si>
  <si>
    <r>
      <t xml:space="preserve">4. </t>
    </r>
    <r>
      <rPr>
        <b/>
        <u val="single"/>
        <sz val="11"/>
        <rFont val="Bookman Old Style"/>
        <family val="1"/>
      </rPr>
      <t>Other Rural Development Programmes</t>
    </r>
  </si>
  <si>
    <r>
      <t xml:space="preserve"> </t>
    </r>
    <r>
      <rPr>
        <b/>
        <u val="single"/>
        <sz val="11"/>
        <rFont val="Bookman Old Style"/>
        <family val="1"/>
      </rPr>
      <t>Special Areas Programmes</t>
    </r>
  </si>
  <si>
    <r>
      <t xml:space="preserve"> </t>
    </r>
    <r>
      <rPr>
        <b/>
        <u val="single"/>
        <sz val="11"/>
        <rFont val="Bookman Old Style"/>
        <family val="1"/>
      </rPr>
      <t>Irrigation &amp; Flood Control</t>
    </r>
  </si>
  <si>
    <r>
      <t xml:space="preserve">  </t>
    </r>
    <r>
      <rPr>
        <b/>
        <u val="single"/>
        <sz val="11"/>
        <rFont val="Bookman Old Style"/>
        <family val="1"/>
      </rPr>
      <t>Energy</t>
    </r>
  </si>
  <si>
    <r>
      <t xml:space="preserve"> </t>
    </r>
    <r>
      <rPr>
        <b/>
        <u val="single"/>
        <sz val="11"/>
        <rFont val="Bookman Old Style"/>
        <family val="1"/>
      </rPr>
      <t>Industry &amp; Minerals</t>
    </r>
  </si>
  <si>
    <r>
      <t xml:space="preserve">  </t>
    </r>
    <r>
      <rPr>
        <b/>
        <u val="single"/>
        <sz val="11"/>
        <rFont val="Bookman Old Style"/>
        <family val="1"/>
      </rPr>
      <t>Transport</t>
    </r>
  </si>
  <si>
    <r>
      <t xml:space="preserve">  </t>
    </r>
    <r>
      <rPr>
        <b/>
        <u val="single"/>
        <sz val="11"/>
        <rFont val="Bookman Old Style"/>
        <family val="1"/>
      </rPr>
      <t>Communications</t>
    </r>
  </si>
  <si>
    <r>
      <t xml:space="preserve"> </t>
    </r>
    <r>
      <rPr>
        <b/>
        <u val="single"/>
        <sz val="11"/>
        <rFont val="Bookman Old Style"/>
        <family val="1"/>
      </rPr>
      <t>Science,Technology &amp; Environment</t>
    </r>
  </si>
  <si>
    <r>
      <t xml:space="preserve">  </t>
    </r>
    <r>
      <rPr>
        <b/>
        <u val="single"/>
        <sz val="11"/>
        <rFont val="Bookman Old Style"/>
        <family val="1"/>
      </rPr>
      <t>General Economic Services</t>
    </r>
  </si>
  <si>
    <r>
      <t xml:space="preserve">5. </t>
    </r>
    <r>
      <rPr>
        <b/>
        <u val="single"/>
        <sz val="11"/>
        <rFont val="Bookman Old Style"/>
        <family val="1"/>
      </rPr>
      <t>Other General Economic Services :</t>
    </r>
  </si>
  <si>
    <r>
      <t xml:space="preserve">  </t>
    </r>
    <r>
      <rPr>
        <b/>
        <u val="single"/>
        <sz val="11"/>
        <rFont val="Bookman Old Style"/>
        <family val="1"/>
      </rPr>
      <t>Social Services</t>
    </r>
  </si>
  <si>
    <r>
      <t xml:space="preserve">  </t>
    </r>
    <r>
      <rPr>
        <b/>
        <u val="single"/>
        <sz val="11"/>
        <rFont val="Bookman Old Style"/>
        <family val="1"/>
      </rPr>
      <t>General Services</t>
    </r>
  </si>
  <si>
    <r>
      <t xml:space="preserve">4. </t>
    </r>
    <r>
      <rPr>
        <b/>
        <u val="single"/>
        <sz val="11"/>
        <rFont val="Bookman Old Style"/>
        <family val="1"/>
      </rPr>
      <t>Other Administrative Services</t>
    </r>
    <r>
      <rPr>
        <sz val="11"/>
        <rFont val="Bookman Old Style"/>
        <family val="1"/>
      </rPr>
      <t xml:space="preserve"> :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</si>
</sst>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"/>
    <numFmt numFmtId="167" formatCode="0.000"/>
    <numFmt numFmtId="168" formatCode="0.0_)"/>
    <numFmt numFmtId="169" formatCode="0.0000"/>
    <numFmt numFmtId="170" formatCode="0.00000"/>
    <numFmt numFmtId="171" formatCode="0.000000"/>
    <numFmt numFmtId="172" formatCode="0.0000000"/>
    <numFmt numFmtId="173" formatCode="0.00_);\(0.00\)"/>
    <numFmt numFmtId="174" formatCode="0.000_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u val="single"/>
      <sz val="12"/>
      <name val="Bookman Old Style"/>
      <family val="1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sz val="10"/>
      <name val="Times New Roman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i/>
      <sz val="12"/>
      <name val="Bookman Old Style"/>
      <family val="1"/>
    </font>
    <font>
      <b/>
      <i/>
      <sz val="10"/>
      <name val="Times New Roman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name val="Times New Roman"/>
      <family val="1"/>
    </font>
    <font>
      <u val="single"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3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4" fontId="4" fillId="2" borderId="1" xfId="21" applyNumberFormat="1" applyFont="1" applyFill="1" applyBorder="1" applyAlignment="1" applyProtection="1">
      <alignment horizontal="center" vertical="center"/>
      <protection/>
    </xf>
    <xf numFmtId="164" fontId="4" fillId="2" borderId="2" xfId="21" applyNumberFormat="1" applyFont="1" applyFill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/>
      <protection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164" fontId="8" fillId="2" borderId="4" xfId="21" applyNumberFormat="1" applyFont="1" applyFill="1" applyBorder="1" applyAlignment="1">
      <alignment vertical="center"/>
      <protection/>
    </xf>
    <xf numFmtId="165" fontId="6" fillId="2" borderId="5" xfId="21" applyFont="1" applyFill="1" applyBorder="1" applyAlignment="1">
      <alignment vertical="center"/>
      <protection/>
    </xf>
    <xf numFmtId="164" fontId="6" fillId="2" borderId="5" xfId="21" applyNumberFormat="1" applyFont="1" applyFill="1" applyBorder="1" applyAlignment="1">
      <alignment vertical="center"/>
      <protection/>
    </xf>
    <xf numFmtId="164" fontId="6" fillId="2" borderId="6" xfId="21" applyNumberFormat="1" applyFont="1" applyFill="1" applyBorder="1" applyAlignment="1">
      <alignment vertical="center"/>
      <protection/>
    </xf>
    <xf numFmtId="164" fontId="6" fillId="2" borderId="0" xfId="21" applyNumberFormat="1" applyFont="1" applyFill="1" applyAlignment="1">
      <alignment vertical="center"/>
      <protection/>
    </xf>
    <xf numFmtId="164" fontId="7" fillId="2" borderId="0" xfId="21" applyNumberFormat="1" applyFont="1" applyFill="1" applyAlignment="1">
      <alignment vertical="center"/>
      <protection/>
    </xf>
    <xf numFmtId="164" fontId="9" fillId="2" borderId="7" xfId="21" applyNumberFormat="1" applyFont="1" applyFill="1" applyBorder="1" applyAlignment="1">
      <alignment horizontal="center" vertical="center" wrapText="1"/>
      <protection/>
    </xf>
    <xf numFmtId="164" fontId="9" fillId="2" borderId="7" xfId="21" applyNumberFormat="1" applyFont="1" applyFill="1" applyBorder="1" applyAlignment="1" applyProtection="1">
      <alignment horizontal="center" vertical="center"/>
      <protection/>
    </xf>
    <xf numFmtId="0" fontId="9" fillId="2" borderId="7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/>
    </xf>
    <xf numFmtId="0" fontId="9" fillId="0" borderId="7" xfId="0" applyFont="1" applyBorder="1" applyAlignment="1">
      <alignment vertical="top" wrapText="1"/>
    </xf>
    <xf numFmtId="164" fontId="9" fillId="2" borderId="7" xfId="21" applyNumberFormat="1" applyFont="1" applyFill="1" applyBorder="1" applyAlignment="1" quotePrefix="1">
      <alignment horizontal="center" vertical="center"/>
      <protection/>
    </xf>
    <xf numFmtId="164" fontId="9" fillId="2" borderId="7" xfId="21" applyNumberFormat="1" applyFont="1" applyFill="1" applyBorder="1" applyAlignment="1" applyProtection="1" quotePrefix="1">
      <alignment horizontal="center" vertical="center"/>
      <protection/>
    </xf>
    <xf numFmtId="0" fontId="9" fillId="2" borderId="7" xfId="0" applyFont="1" applyFill="1" applyBorder="1" applyAlignment="1" quotePrefix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164" fontId="12" fillId="2" borderId="8" xfId="21" applyNumberFormat="1" applyFont="1" applyFill="1" applyBorder="1" applyAlignment="1">
      <alignment vertical="center"/>
      <protection/>
    </xf>
    <xf numFmtId="164" fontId="12" fillId="2" borderId="9" xfId="21" applyNumberFormat="1" applyFont="1" applyFill="1" applyBorder="1" applyAlignment="1" applyProtection="1">
      <alignment horizontal="left" vertical="center"/>
      <protection/>
    </xf>
    <xf numFmtId="0" fontId="13" fillId="2" borderId="9" xfId="0" applyFont="1" applyFill="1" applyBorder="1" applyAlignment="1">
      <alignment/>
    </xf>
    <xf numFmtId="0" fontId="13" fillId="2" borderId="10" xfId="0" applyFont="1" applyFill="1" applyBorder="1" applyAlignment="1">
      <alignment/>
    </xf>
    <xf numFmtId="164" fontId="13" fillId="2" borderId="9" xfId="21" applyNumberFormat="1" applyFont="1" applyFill="1" applyBorder="1" applyAlignment="1" applyProtection="1">
      <alignment horizontal="left" vertical="center"/>
      <protection/>
    </xf>
    <xf numFmtId="2" fontId="13" fillId="2" borderId="9" xfId="0" applyNumberFormat="1" applyFont="1" applyFill="1" applyBorder="1" applyAlignment="1">
      <alignment/>
    </xf>
    <xf numFmtId="2" fontId="13" fillId="2" borderId="11" xfId="0" applyNumberFormat="1" applyFont="1" applyFill="1" applyBorder="1" applyAlignment="1">
      <alignment/>
    </xf>
    <xf numFmtId="165" fontId="13" fillId="0" borderId="9" xfId="0" applyNumberFormat="1" applyFont="1" applyBorder="1" applyAlignment="1">
      <alignment vertical="center"/>
    </xf>
    <xf numFmtId="165" fontId="13" fillId="2" borderId="9" xfId="0" applyNumberFormat="1" applyFont="1" applyFill="1" applyBorder="1" applyAlignment="1">
      <alignment/>
    </xf>
    <xf numFmtId="165" fontId="13" fillId="2" borderId="11" xfId="0" applyNumberFormat="1" applyFont="1" applyFill="1" applyBorder="1" applyAlignment="1">
      <alignment/>
    </xf>
    <xf numFmtId="165" fontId="13" fillId="2" borderId="10" xfId="0" applyNumberFormat="1" applyFont="1" applyFill="1" applyBorder="1" applyAlignment="1">
      <alignment/>
    </xf>
    <xf numFmtId="164" fontId="5" fillId="2" borderId="9" xfId="21" applyNumberFormat="1" applyFont="1" applyFill="1" applyBorder="1" applyAlignment="1" applyProtection="1">
      <alignment horizontal="left" vertical="center"/>
      <protection/>
    </xf>
    <xf numFmtId="2" fontId="9" fillId="2" borderId="9" xfId="0" applyNumberFormat="1" applyFont="1" applyFill="1" applyBorder="1" applyAlignment="1">
      <alignment/>
    </xf>
    <xf numFmtId="2" fontId="9" fillId="2" borderId="11" xfId="0" applyNumberFormat="1" applyFont="1" applyFill="1" applyBorder="1" applyAlignment="1">
      <alignment/>
    </xf>
    <xf numFmtId="165" fontId="9" fillId="2" borderId="9" xfId="0" applyNumberFormat="1" applyFont="1" applyFill="1" applyBorder="1" applyAlignment="1">
      <alignment/>
    </xf>
    <xf numFmtId="165" fontId="9" fillId="2" borderId="11" xfId="0" applyNumberFormat="1" applyFont="1" applyFill="1" applyBorder="1" applyAlignment="1">
      <alignment/>
    </xf>
    <xf numFmtId="165" fontId="9" fillId="2" borderId="10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14" fillId="2" borderId="0" xfId="0" applyFont="1" applyFill="1" applyAlignment="1">
      <alignment/>
    </xf>
    <xf numFmtId="2" fontId="12" fillId="2" borderId="11" xfId="0" applyNumberFormat="1" applyFont="1" applyFill="1" applyBorder="1" applyAlignment="1">
      <alignment/>
    </xf>
    <xf numFmtId="173" fontId="13" fillId="2" borderId="9" xfId="0" applyNumberFormat="1" applyFont="1" applyFill="1" applyBorder="1" applyAlignment="1">
      <alignment horizontal="center"/>
    </xf>
    <xf numFmtId="165" fontId="13" fillId="0" borderId="9" xfId="0" applyNumberFormat="1" applyFont="1" applyBorder="1" applyAlignment="1">
      <alignment/>
    </xf>
    <xf numFmtId="165" fontId="9" fillId="2" borderId="9" xfId="0" applyNumberFormat="1" applyFont="1" applyFill="1" applyBorder="1" applyAlignment="1">
      <alignment horizontal="right"/>
    </xf>
    <xf numFmtId="165" fontId="9" fillId="2" borderId="11" xfId="0" applyNumberFormat="1" applyFont="1" applyFill="1" applyBorder="1" applyAlignment="1">
      <alignment horizontal="right"/>
    </xf>
    <xf numFmtId="2" fontId="13" fillId="2" borderId="9" xfId="0" applyNumberFormat="1" applyFont="1" applyFill="1" applyBorder="1" applyAlignment="1">
      <alignment horizontal="center"/>
    </xf>
    <xf numFmtId="165" fontId="12" fillId="2" borderId="11" xfId="0" applyNumberFormat="1" applyFont="1" applyFill="1" applyBorder="1" applyAlignment="1">
      <alignment/>
    </xf>
    <xf numFmtId="2" fontId="9" fillId="2" borderId="10" xfId="0" applyNumberFormat="1" applyFont="1" applyFill="1" applyBorder="1" applyAlignment="1">
      <alignment/>
    </xf>
    <xf numFmtId="39" fontId="13" fillId="2" borderId="9" xfId="0" applyNumberFormat="1" applyFont="1" applyFill="1" applyBorder="1" applyAlignment="1">
      <alignment horizontal="center"/>
    </xf>
    <xf numFmtId="2" fontId="13" fillId="0" borderId="9" xfId="0" applyNumberFormat="1" applyFont="1" applyFill="1" applyBorder="1" applyAlignment="1">
      <alignment/>
    </xf>
    <xf numFmtId="173" fontId="9" fillId="2" borderId="9" xfId="0" applyNumberFormat="1" applyFont="1" applyFill="1" applyBorder="1" applyAlignment="1">
      <alignment horizontal="center"/>
    </xf>
    <xf numFmtId="164" fontId="12" fillId="2" borderId="8" xfId="21" applyNumberFormat="1" applyFont="1" applyFill="1" applyBorder="1" applyAlignment="1">
      <alignment horizontal="right" vertical="center"/>
      <protection/>
    </xf>
    <xf numFmtId="164" fontId="13" fillId="2" borderId="9" xfId="21" applyNumberFormat="1" applyFont="1" applyFill="1" applyBorder="1" applyAlignment="1">
      <alignment vertical="center"/>
      <protection/>
    </xf>
    <xf numFmtId="164" fontId="16" fillId="2" borderId="9" xfId="21" applyNumberFormat="1" applyFont="1" applyFill="1" applyBorder="1" applyAlignment="1" applyProtection="1">
      <alignment horizontal="left" vertical="center"/>
      <protection/>
    </xf>
    <xf numFmtId="165" fontId="9" fillId="2" borderId="11" xfId="0" applyNumberFormat="1" applyFont="1" applyFill="1" applyBorder="1" applyAlignment="1">
      <alignment/>
    </xf>
    <xf numFmtId="2" fontId="9" fillId="2" borderId="12" xfId="0" applyNumberFormat="1" applyFont="1" applyFill="1" applyBorder="1" applyAlignment="1">
      <alignment/>
    </xf>
    <xf numFmtId="165" fontId="9" fillId="2" borderId="13" xfId="0" applyNumberFormat="1" applyFont="1" applyFill="1" applyBorder="1" applyAlignment="1">
      <alignment/>
    </xf>
    <xf numFmtId="165" fontId="9" fillId="2" borderId="14" xfId="0" applyNumberFormat="1" applyFont="1" applyFill="1" applyBorder="1" applyAlignment="1">
      <alignment/>
    </xf>
    <xf numFmtId="2" fontId="9" fillId="2" borderId="13" xfId="0" applyNumberFormat="1" applyFont="1" applyFill="1" applyBorder="1" applyAlignment="1">
      <alignment/>
    </xf>
    <xf numFmtId="173" fontId="9" fillId="2" borderId="13" xfId="0" applyNumberFormat="1" applyFont="1" applyFill="1" applyBorder="1" applyAlignment="1">
      <alignment horizontal="center"/>
    </xf>
    <xf numFmtId="164" fontId="12" fillId="2" borderId="15" xfId="21" applyNumberFormat="1" applyFont="1" applyFill="1" applyBorder="1" applyAlignment="1">
      <alignment horizontal="center" vertical="center"/>
      <protection/>
    </xf>
    <xf numFmtId="164" fontId="5" fillId="2" borderId="16" xfId="21" applyNumberFormat="1" applyFont="1" applyFill="1" applyBorder="1" applyAlignment="1" applyProtection="1">
      <alignment horizontal="left" vertical="center"/>
      <protection/>
    </xf>
    <xf numFmtId="2" fontId="9" fillId="2" borderId="16" xfId="0" applyNumberFormat="1" applyFont="1" applyFill="1" applyBorder="1" applyAlignment="1">
      <alignment/>
    </xf>
    <xf numFmtId="165" fontId="9" fillId="2" borderId="17" xfId="0" applyNumberFormat="1" applyFont="1" applyFill="1" applyBorder="1" applyAlignment="1">
      <alignment/>
    </xf>
    <xf numFmtId="2" fontId="9" fillId="2" borderId="18" xfId="0" applyNumberFormat="1" applyFont="1" applyFill="1" applyBorder="1" applyAlignment="1">
      <alignment/>
    </xf>
    <xf numFmtId="2" fontId="9" fillId="2" borderId="19" xfId="0" applyNumberFormat="1" applyFont="1" applyFill="1" applyBorder="1" applyAlignment="1">
      <alignment/>
    </xf>
    <xf numFmtId="2" fontId="9" fillId="2" borderId="19" xfId="0" applyNumberFormat="1" applyFont="1" applyFill="1" applyBorder="1" applyAlignment="1">
      <alignment/>
    </xf>
    <xf numFmtId="165" fontId="9" fillId="2" borderId="17" xfId="0" applyNumberFormat="1" applyFont="1" applyFill="1" applyBorder="1" applyAlignment="1">
      <alignment/>
    </xf>
    <xf numFmtId="165" fontId="9" fillId="2" borderId="20" xfId="0" applyNumberFormat="1" applyFont="1" applyFill="1" applyBorder="1" applyAlignment="1">
      <alignment/>
    </xf>
    <xf numFmtId="164" fontId="17" fillId="2" borderId="21" xfId="21" applyNumberFormat="1" applyFont="1" applyFill="1" applyBorder="1" applyAlignment="1">
      <alignment vertical="center"/>
      <protection/>
    </xf>
    <xf numFmtId="164" fontId="18" fillId="2" borderId="0" xfId="21" applyNumberFormat="1" applyFont="1" applyFill="1" applyAlignment="1">
      <alignment vertical="center"/>
      <protection/>
    </xf>
    <xf numFmtId="0" fontId="18" fillId="2" borderId="0" xfId="0" applyFont="1" applyFill="1" applyAlignment="1">
      <alignment/>
    </xf>
    <xf numFmtId="164" fontId="12" fillId="2" borderId="0" xfId="21" applyNumberFormat="1" applyFont="1" applyFill="1" applyAlignment="1">
      <alignment vertical="center"/>
      <protection/>
    </xf>
    <xf numFmtId="164" fontId="14" fillId="2" borderId="21" xfId="21" applyNumberFormat="1" applyFont="1" applyFill="1" applyBorder="1" applyAlignment="1">
      <alignment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ut03-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6"/>
  <sheetViews>
    <sheetView tabSelected="1" zoomScale="85" zoomScaleNormal="85" zoomScaleSheetLayoutView="25" workbookViewId="0" topLeftCell="A1">
      <selection activeCell="A1" sqref="A1:O123"/>
    </sheetView>
  </sheetViews>
  <sheetFormatPr defaultColWidth="9.140625" defaultRowHeight="12.75"/>
  <cols>
    <col min="1" max="1" width="5.28125" style="76" customWidth="1"/>
    <col min="2" max="2" width="55.421875" style="13" customWidth="1"/>
    <col min="3" max="3" width="15.57421875" style="7" customWidth="1"/>
    <col min="4" max="4" width="15.28125" style="7" customWidth="1"/>
    <col min="5" max="5" width="13.57421875" style="7" customWidth="1"/>
    <col min="6" max="6" width="14.00390625" style="7" customWidth="1"/>
    <col min="7" max="7" width="14.28125" style="7" customWidth="1"/>
    <col min="8" max="8" width="13.8515625" style="7" customWidth="1"/>
    <col min="9" max="9" width="14.140625" style="7" customWidth="1"/>
    <col min="10" max="11" width="13.7109375" style="7" customWidth="1"/>
    <col min="12" max="12" width="14.7109375" style="7" customWidth="1"/>
    <col min="13" max="13" width="13.7109375" style="7" customWidth="1"/>
    <col min="14" max="14" width="14.8515625" style="7" customWidth="1"/>
    <col min="15" max="15" width="14.7109375" style="7" customWidth="1"/>
    <col min="16" max="16384" width="9.140625" style="7" customWidth="1"/>
  </cols>
  <sheetData>
    <row r="1" spans="1:34" ht="15.75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13" customFormat="1" ht="13.5" customHeight="1" thickBot="1">
      <c r="A2" s="8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 t="s">
        <v>1</v>
      </c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1:34" ht="15" customHeight="1" thickBot="1">
      <c r="A3" s="14" t="s">
        <v>2</v>
      </c>
      <c r="B3" s="15" t="s">
        <v>3</v>
      </c>
      <c r="C3" s="16" t="s">
        <v>4</v>
      </c>
      <c r="D3" s="17" t="s">
        <v>5</v>
      </c>
      <c r="E3" s="17"/>
      <c r="F3" s="17"/>
      <c r="G3" s="17" t="s">
        <v>6</v>
      </c>
      <c r="H3" s="17"/>
      <c r="I3" s="17"/>
      <c r="J3" s="17" t="s">
        <v>7</v>
      </c>
      <c r="K3" s="17"/>
      <c r="L3" s="17"/>
      <c r="M3" s="17" t="s">
        <v>8</v>
      </c>
      <c r="N3" s="17"/>
      <c r="O3" s="16" t="s">
        <v>9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5" customHeight="1" thickBot="1">
      <c r="A4" s="14"/>
      <c r="B4" s="15"/>
      <c r="C4" s="18"/>
      <c r="D4" s="16" t="s">
        <v>10</v>
      </c>
      <c r="E4" s="16" t="s">
        <v>11</v>
      </c>
      <c r="F4" s="16" t="s">
        <v>12</v>
      </c>
      <c r="G4" s="16" t="s">
        <v>10</v>
      </c>
      <c r="H4" s="16" t="s">
        <v>11</v>
      </c>
      <c r="I4" s="16" t="s">
        <v>12</v>
      </c>
      <c r="J4" s="16" t="s">
        <v>10</v>
      </c>
      <c r="K4" s="16" t="s">
        <v>11</v>
      </c>
      <c r="L4" s="16" t="s">
        <v>12</v>
      </c>
      <c r="M4" s="16" t="s">
        <v>10</v>
      </c>
      <c r="N4" s="16" t="s">
        <v>11</v>
      </c>
      <c r="O4" s="1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5" customHeight="1" thickBot="1">
      <c r="A5" s="14"/>
      <c r="B5" s="15"/>
      <c r="C5" s="18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15" customHeight="1" thickBot="1">
      <c r="A6" s="14"/>
      <c r="B6" s="15"/>
      <c r="C6" s="18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s="23" customFormat="1" ht="15" customHeight="1" thickBot="1">
      <c r="A7" s="19" t="s">
        <v>13</v>
      </c>
      <c r="B7" s="20" t="s">
        <v>14</v>
      </c>
      <c r="C7" s="21" t="s">
        <v>15</v>
      </c>
      <c r="D7" s="21" t="s">
        <v>16</v>
      </c>
      <c r="E7" s="21" t="s">
        <v>17</v>
      </c>
      <c r="F7" s="21" t="s">
        <v>18</v>
      </c>
      <c r="G7" s="21" t="s">
        <v>19</v>
      </c>
      <c r="H7" s="21" t="s">
        <v>20</v>
      </c>
      <c r="I7" s="21" t="s">
        <v>21</v>
      </c>
      <c r="J7" s="21" t="s">
        <v>22</v>
      </c>
      <c r="K7" s="21" t="s">
        <v>23</v>
      </c>
      <c r="L7" s="21" t="s">
        <v>24</v>
      </c>
      <c r="M7" s="21" t="s">
        <v>25</v>
      </c>
      <c r="N7" s="21" t="s">
        <v>26</v>
      </c>
      <c r="O7" s="21" t="s">
        <v>27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4" ht="15" customHeight="1">
      <c r="A8" s="24" t="s">
        <v>28</v>
      </c>
      <c r="B8" s="25" t="s">
        <v>126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7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5" customHeight="1">
      <c r="A9" s="24"/>
      <c r="B9" s="28" t="s">
        <v>29</v>
      </c>
      <c r="C9" s="29">
        <v>70310</v>
      </c>
      <c r="D9" s="29">
        <v>12512</v>
      </c>
      <c r="E9" s="29">
        <v>12018</v>
      </c>
      <c r="F9" s="30">
        <v>7701.88</v>
      </c>
      <c r="G9" s="31">
        <v>14247.22</v>
      </c>
      <c r="H9" s="32">
        <v>14145.92</v>
      </c>
      <c r="I9" s="33">
        <v>9908.43</v>
      </c>
      <c r="J9" s="29">
        <v>10518.47</v>
      </c>
      <c r="K9" s="29">
        <v>10953.97</v>
      </c>
      <c r="L9" s="30">
        <v>11018.58</v>
      </c>
      <c r="M9" s="32">
        <v>12149</v>
      </c>
      <c r="N9" s="33">
        <v>10161.11</v>
      </c>
      <c r="O9" s="34">
        <v>11441.27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" customHeight="1">
      <c r="A10" s="24"/>
      <c r="B10" s="28" t="s">
        <v>30</v>
      </c>
      <c r="C10" s="29">
        <v>0</v>
      </c>
      <c r="D10" s="29">
        <v>0</v>
      </c>
      <c r="E10" s="29">
        <v>0</v>
      </c>
      <c r="F10" s="30">
        <v>1419.85</v>
      </c>
      <c r="G10" s="32"/>
      <c r="H10" s="32">
        <v>1729.96</v>
      </c>
      <c r="I10" s="33">
        <v>1692.21</v>
      </c>
      <c r="J10" s="29">
        <v>2130.71</v>
      </c>
      <c r="K10" s="29">
        <v>2130.71</v>
      </c>
      <c r="L10" s="30">
        <v>2065.94</v>
      </c>
      <c r="M10" s="32">
        <v>1838</v>
      </c>
      <c r="N10" s="33">
        <v>2751.53</v>
      </c>
      <c r="O10" s="34">
        <v>2718.89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15" customHeight="1">
      <c r="A11" s="24"/>
      <c r="B11" s="28" t="s">
        <v>31</v>
      </c>
      <c r="C11" s="29">
        <v>4667</v>
      </c>
      <c r="D11" s="29">
        <v>920</v>
      </c>
      <c r="E11" s="29">
        <v>872</v>
      </c>
      <c r="F11" s="30">
        <v>903.2</v>
      </c>
      <c r="G11" s="31">
        <v>873</v>
      </c>
      <c r="H11" s="32">
        <v>725.46</v>
      </c>
      <c r="I11" s="33">
        <v>868.84</v>
      </c>
      <c r="J11" s="29">
        <v>1005.28</v>
      </c>
      <c r="K11" s="29">
        <v>1000.98</v>
      </c>
      <c r="L11" s="30">
        <v>1008.13</v>
      </c>
      <c r="M11" s="32">
        <v>975</v>
      </c>
      <c r="N11" s="33"/>
      <c r="O11" s="34">
        <v>1079.67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15" customHeight="1">
      <c r="A12" s="24"/>
      <c r="B12" s="28" t="s">
        <v>32</v>
      </c>
      <c r="C12" s="29"/>
      <c r="D12" s="29"/>
      <c r="E12" s="29"/>
      <c r="F12" s="30"/>
      <c r="G12" s="32"/>
      <c r="H12" s="32"/>
      <c r="I12" s="33"/>
      <c r="J12" s="29"/>
      <c r="K12" s="29"/>
      <c r="L12" s="30"/>
      <c r="M12" s="32"/>
      <c r="N12" s="33">
        <v>854.39</v>
      </c>
      <c r="O12" s="34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15" customHeight="1">
      <c r="A13" s="24"/>
      <c r="B13" s="28" t="s">
        <v>33</v>
      </c>
      <c r="C13" s="29">
        <v>16244</v>
      </c>
      <c r="D13" s="29">
        <v>3201</v>
      </c>
      <c r="E13" s="29">
        <v>2600</v>
      </c>
      <c r="F13" s="30">
        <v>2531.77</v>
      </c>
      <c r="G13" s="32">
        <v>3259.94</v>
      </c>
      <c r="H13" s="32">
        <v>2461.44</v>
      </c>
      <c r="I13" s="33">
        <v>2355.26</v>
      </c>
      <c r="J13" s="29">
        <v>3439.47</v>
      </c>
      <c r="K13" s="29">
        <v>3346.59</v>
      </c>
      <c r="L13" s="30">
        <v>2746.06</v>
      </c>
      <c r="M13" s="32">
        <v>3348</v>
      </c>
      <c r="N13" s="33">
        <v>3312.63</v>
      </c>
      <c r="O13" s="34">
        <v>4201.89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15" customHeight="1">
      <c r="A14" s="24"/>
      <c r="B14" s="28" t="s">
        <v>34</v>
      </c>
      <c r="C14" s="29">
        <v>0</v>
      </c>
      <c r="D14" s="29">
        <v>0</v>
      </c>
      <c r="E14" s="29">
        <v>0</v>
      </c>
      <c r="F14" s="30">
        <v>0</v>
      </c>
      <c r="G14" s="31">
        <v>0</v>
      </c>
      <c r="H14" s="32">
        <v>0</v>
      </c>
      <c r="I14" s="33"/>
      <c r="J14" s="29">
        <v>0</v>
      </c>
      <c r="K14" s="29">
        <v>0</v>
      </c>
      <c r="L14" s="30"/>
      <c r="M14" s="32">
        <v>0</v>
      </c>
      <c r="N14" s="33">
        <v>0</v>
      </c>
      <c r="O14" s="34">
        <v>0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15" customHeight="1">
      <c r="A15" s="24"/>
      <c r="B15" s="28" t="s">
        <v>35</v>
      </c>
      <c r="C15" s="29">
        <v>2989</v>
      </c>
      <c r="D15" s="29">
        <v>589</v>
      </c>
      <c r="E15" s="29">
        <v>570</v>
      </c>
      <c r="F15" s="30">
        <v>445.32</v>
      </c>
      <c r="G15" s="31">
        <v>609.62</v>
      </c>
      <c r="H15" s="32">
        <v>598.07</v>
      </c>
      <c r="I15" s="33">
        <v>433.81</v>
      </c>
      <c r="J15" s="29">
        <v>598.97</v>
      </c>
      <c r="K15" s="29">
        <v>589</v>
      </c>
      <c r="L15" s="30">
        <v>498.14</v>
      </c>
      <c r="M15" s="32">
        <v>639</v>
      </c>
      <c r="N15" s="33">
        <v>1121.79</v>
      </c>
      <c r="O15" s="34">
        <v>701.34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15" customHeight="1">
      <c r="A16" s="24"/>
      <c r="B16" s="28" t="s">
        <v>36</v>
      </c>
      <c r="C16" s="29">
        <v>35275</v>
      </c>
      <c r="D16" s="29">
        <v>7055</v>
      </c>
      <c r="E16" s="29">
        <v>11444</v>
      </c>
      <c r="F16" s="30">
        <v>9847.53</v>
      </c>
      <c r="G16" s="31">
        <v>12441.54</v>
      </c>
      <c r="H16" s="32">
        <v>11441.53</v>
      </c>
      <c r="I16" s="33">
        <v>11821.01</v>
      </c>
      <c r="J16" s="29">
        <v>13758.58</v>
      </c>
      <c r="K16" s="29">
        <v>12731.97</v>
      </c>
      <c r="L16" s="30">
        <v>13494.88</v>
      </c>
      <c r="M16" s="32">
        <v>14100</v>
      </c>
      <c r="N16" s="33">
        <v>20570.67</v>
      </c>
      <c r="O16" s="34">
        <v>17103.7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15" customHeight="1">
      <c r="A17" s="24"/>
      <c r="B17" s="28" t="s">
        <v>37</v>
      </c>
      <c r="C17" s="29">
        <v>0</v>
      </c>
      <c r="D17" s="29">
        <v>0</v>
      </c>
      <c r="E17" s="29">
        <v>0</v>
      </c>
      <c r="F17" s="30">
        <v>0</v>
      </c>
      <c r="G17" s="31">
        <v>0</v>
      </c>
      <c r="H17" s="32">
        <v>0</v>
      </c>
      <c r="I17" s="33">
        <v>0</v>
      </c>
      <c r="J17" s="32">
        <v>0</v>
      </c>
      <c r="K17" s="32">
        <v>0</v>
      </c>
      <c r="L17" s="30">
        <v>0</v>
      </c>
      <c r="M17" s="32">
        <v>0</v>
      </c>
      <c r="N17" s="33">
        <v>0</v>
      </c>
      <c r="O17" s="34">
        <v>0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15" customHeight="1">
      <c r="A18" s="24"/>
      <c r="B18" s="28" t="s">
        <v>38</v>
      </c>
      <c r="C18" s="29">
        <v>0</v>
      </c>
      <c r="D18" s="29">
        <v>0</v>
      </c>
      <c r="E18" s="29">
        <v>0</v>
      </c>
      <c r="F18" s="30">
        <v>0</v>
      </c>
      <c r="G18" s="31">
        <v>0</v>
      </c>
      <c r="H18" s="32">
        <v>0</v>
      </c>
      <c r="I18" s="33">
        <v>0</v>
      </c>
      <c r="J18" s="32">
        <v>0</v>
      </c>
      <c r="K18" s="32">
        <v>0</v>
      </c>
      <c r="L18" s="30">
        <v>0</v>
      </c>
      <c r="M18" s="32">
        <v>0</v>
      </c>
      <c r="N18" s="33">
        <v>0</v>
      </c>
      <c r="O18" s="34">
        <v>0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15" customHeight="1">
      <c r="A19" s="24"/>
      <c r="B19" s="28" t="s">
        <v>39</v>
      </c>
      <c r="C19" s="29">
        <v>6678</v>
      </c>
      <c r="D19" s="29">
        <v>1316</v>
      </c>
      <c r="E19" s="29">
        <v>1428</v>
      </c>
      <c r="F19" s="30">
        <v>1423.14</v>
      </c>
      <c r="G19" s="31">
        <v>1423</v>
      </c>
      <c r="H19" s="32">
        <v>1346</v>
      </c>
      <c r="I19" s="33">
        <v>1346</v>
      </c>
      <c r="J19" s="29">
        <v>1523</v>
      </c>
      <c r="K19" s="29">
        <v>1523</v>
      </c>
      <c r="L19" s="30">
        <v>1523</v>
      </c>
      <c r="M19" s="32">
        <v>1653</v>
      </c>
      <c r="N19" s="33">
        <v>1653</v>
      </c>
      <c r="O19" s="34">
        <v>1814.3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15" customHeight="1">
      <c r="A20" s="24"/>
      <c r="B20" s="28" t="s">
        <v>40</v>
      </c>
      <c r="C20" s="29">
        <v>0</v>
      </c>
      <c r="D20" s="29">
        <v>0</v>
      </c>
      <c r="E20" s="29">
        <v>0</v>
      </c>
      <c r="F20" s="30">
        <v>0</v>
      </c>
      <c r="G20" s="31">
        <v>0</v>
      </c>
      <c r="H20" s="32">
        <v>0</v>
      </c>
      <c r="I20" s="33">
        <v>0</v>
      </c>
      <c r="J20" s="29">
        <v>0</v>
      </c>
      <c r="K20" s="29">
        <v>0</v>
      </c>
      <c r="L20" s="30">
        <v>0</v>
      </c>
      <c r="M20" s="32">
        <v>0</v>
      </c>
      <c r="N20" s="33">
        <v>0</v>
      </c>
      <c r="O20" s="34">
        <v>0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15" customHeight="1">
      <c r="A21" s="24"/>
      <c r="B21" s="28" t="s">
        <v>41</v>
      </c>
      <c r="C21" s="29">
        <v>21989</v>
      </c>
      <c r="D21" s="29">
        <v>4155</v>
      </c>
      <c r="E21" s="29">
        <v>4155</v>
      </c>
      <c r="F21" s="30">
        <v>1984.47</v>
      </c>
      <c r="G21" s="31">
        <v>11744.21</v>
      </c>
      <c r="H21" s="32">
        <v>7409.45</v>
      </c>
      <c r="I21" s="33">
        <v>7368.31</v>
      </c>
      <c r="J21" s="29">
        <v>4046.85</v>
      </c>
      <c r="K21" s="29">
        <v>4295.83</v>
      </c>
      <c r="L21" s="33">
        <v>3826.48</v>
      </c>
      <c r="M21" s="32">
        <v>2928</v>
      </c>
      <c r="N21" s="33">
        <v>3084.48</v>
      </c>
      <c r="O21" s="34">
        <v>3237.55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15" customHeight="1">
      <c r="A22" s="24"/>
      <c r="B22" s="28" t="s">
        <v>127</v>
      </c>
      <c r="C22" s="29"/>
      <c r="D22" s="29"/>
      <c r="E22" s="29"/>
      <c r="F22" s="30"/>
      <c r="G22" s="32">
        <v>0</v>
      </c>
      <c r="H22" s="32"/>
      <c r="I22" s="33"/>
      <c r="J22" s="29"/>
      <c r="K22" s="29"/>
      <c r="L22" s="33"/>
      <c r="M22" s="32"/>
      <c r="N22" s="33"/>
      <c r="O22" s="34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15" customHeight="1">
      <c r="A23" s="24"/>
      <c r="B23" s="28" t="s">
        <v>42</v>
      </c>
      <c r="C23" s="29">
        <v>0</v>
      </c>
      <c r="D23" s="29">
        <v>0</v>
      </c>
      <c r="E23" s="29">
        <v>0</v>
      </c>
      <c r="F23" s="30">
        <v>0</v>
      </c>
      <c r="G23" s="31">
        <v>0</v>
      </c>
      <c r="H23" s="32">
        <v>0</v>
      </c>
      <c r="I23" s="33">
        <v>0</v>
      </c>
      <c r="J23" s="29"/>
      <c r="K23" s="29"/>
      <c r="L23" s="33">
        <v>0</v>
      </c>
      <c r="M23" s="32">
        <v>0</v>
      </c>
      <c r="N23" s="33">
        <v>0</v>
      </c>
      <c r="O23" s="34">
        <v>0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15" customHeight="1">
      <c r="A24" s="24"/>
      <c r="B24" s="28" t="s">
        <v>43</v>
      </c>
      <c r="C24" s="29">
        <v>0</v>
      </c>
      <c r="D24" s="29">
        <v>0</v>
      </c>
      <c r="E24" s="29">
        <v>0</v>
      </c>
      <c r="F24" s="30">
        <v>897.51</v>
      </c>
      <c r="G24" s="31">
        <v>747.74</v>
      </c>
      <c r="H24" s="32">
        <v>147.74</v>
      </c>
      <c r="I24" s="33">
        <v>118.19</v>
      </c>
      <c r="J24" s="29">
        <v>173.15</v>
      </c>
      <c r="K24" s="29">
        <v>173.15</v>
      </c>
      <c r="L24" s="33">
        <v>145.78</v>
      </c>
      <c r="M24" s="32">
        <v>841</v>
      </c>
      <c r="N24" s="33">
        <v>342.05</v>
      </c>
      <c r="O24" s="34">
        <v>476.97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s="42" customFormat="1" ht="15" customHeight="1">
      <c r="A25" s="24"/>
      <c r="B25" s="35" t="s">
        <v>44</v>
      </c>
      <c r="C25" s="36">
        <f aca="true" t="shared" si="0" ref="C25:M25">SUM(C9:C24)</f>
        <v>158152</v>
      </c>
      <c r="D25" s="36">
        <f t="shared" si="0"/>
        <v>29748</v>
      </c>
      <c r="E25" s="36">
        <f t="shared" si="0"/>
        <v>33087</v>
      </c>
      <c r="F25" s="37">
        <f>SUM(F9:F24)</f>
        <v>27154.670000000002</v>
      </c>
      <c r="G25" s="38">
        <f t="shared" si="0"/>
        <v>45346.27</v>
      </c>
      <c r="H25" s="38">
        <f t="shared" si="0"/>
        <v>40005.56999999999</v>
      </c>
      <c r="I25" s="39">
        <f>SUM(I9:I24)</f>
        <v>35912.06</v>
      </c>
      <c r="J25" s="36">
        <f t="shared" si="0"/>
        <v>37194.48</v>
      </c>
      <c r="K25" s="36">
        <f t="shared" si="0"/>
        <v>36745.200000000004</v>
      </c>
      <c r="L25" s="39">
        <f>SUM(L9:L24)</f>
        <v>36326.99</v>
      </c>
      <c r="M25" s="38">
        <f t="shared" si="0"/>
        <v>38471</v>
      </c>
      <c r="N25" s="39">
        <f>SUM(N9:N24)</f>
        <v>43851.65</v>
      </c>
      <c r="O25" s="40">
        <f>SUM(O9:O24)</f>
        <v>42775.58000000001</v>
      </c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</row>
    <row r="26" spans="1:34" ht="15" customHeight="1">
      <c r="A26" s="24"/>
      <c r="B26" s="28"/>
      <c r="C26" s="29"/>
      <c r="D26" s="29"/>
      <c r="E26" s="29"/>
      <c r="F26" s="43"/>
      <c r="G26" s="32"/>
      <c r="H26" s="32"/>
      <c r="I26" s="33"/>
      <c r="J26" s="29"/>
      <c r="K26" s="44"/>
      <c r="L26" s="39"/>
      <c r="M26" s="32"/>
      <c r="N26" s="33"/>
      <c r="O26" s="34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15" customHeight="1">
      <c r="A27" s="24" t="s">
        <v>45</v>
      </c>
      <c r="B27" s="25" t="s">
        <v>128</v>
      </c>
      <c r="C27" s="29"/>
      <c r="D27" s="29"/>
      <c r="E27" s="29"/>
      <c r="F27" s="30"/>
      <c r="G27" s="32"/>
      <c r="H27" s="32"/>
      <c r="I27" s="33"/>
      <c r="J27" s="29"/>
      <c r="K27" s="29"/>
      <c r="L27" s="33"/>
      <c r="M27" s="32"/>
      <c r="N27" s="33"/>
      <c r="O27" s="34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15" customHeight="1">
      <c r="A28" s="24"/>
      <c r="B28" s="25" t="s">
        <v>129</v>
      </c>
      <c r="C28" s="29"/>
      <c r="D28" s="29"/>
      <c r="E28" s="29"/>
      <c r="F28" s="30">
        <v>0</v>
      </c>
      <c r="G28" s="32"/>
      <c r="H28" s="32"/>
      <c r="I28" s="33"/>
      <c r="J28" s="29"/>
      <c r="K28" s="29"/>
      <c r="L28" s="33"/>
      <c r="M28" s="32"/>
      <c r="N28" s="33"/>
      <c r="O28" s="34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15" customHeight="1">
      <c r="A29" s="24"/>
      <c r="B29" s="28" t="s">
        <v>46</v>
      </c>
      <c r="C29" s="29">
        <v>0</v>
      </c>
      <c r="D29" s="29">
        <v>0</v>
      </c>
      <c r="E29" s="29">
        <v>0</v>
      </c>
      <c r="F29" s="30">
        <v>0</v>
      </c>
      <c r="G29" s="31">
        <v>2589</v>
      </c>
      <c r="H29" s="32">
        <v>0</v>
      </c>
      <c r="I29" s="33">
        <v>0</v>
      </c>
      <c r="J29" s="29">
        <v>0</v>
      </c>
      <c r="K29" s="29">
        <v>0</v>
      </c>
      <c r="L29" s="33">
        <v>0</v>
      </c>
      <c r="M29" s="32">
        <v>2589</v>
      </c>
      <c r="N29" s="33">
        <v>2589</v>
      </c>
      <c r="O29" s="34">
        <v>2678.57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15" customHeight="1">
      <c r="A30" s="24"/>
      <c r="B30" s="28" t="s">
        <v>47</v>
      </c>
      <c r="C30" s="29">
        <v>0</v>
      </c>
      <c r="D30" s="29">
        <v>0</v>
      </c>
      <c r="E30" s="29">
        <v>0</v>
      </c>
      <c r="F30" s="30">
        <v>0</v>
      </c>
      <c r="G30" s="31">
        <v>0</v>
      </c>
      <c r="H30" s="32">
        <v>0</v>
      </c>
      <c r="I30" s="33">
        <v>0</v>
      </c>
      <c r="J30" s="29">
        <v>0</v>
      </c>
      <c r="K30" s="29">
        <v>0</v>
      </c>
      <c r="L30" s="33">
        <v>0</v>
      </c>
      <c r="M30" s="32">
        <v>0</v>
      </c>
      <c r="N30" s="33">
        <v>0</v>
      </c>
      <c r="O30" s="34">
        <v>0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15" customHeight="1">
      <c r="A31" s="24"/>
      <c r="B31" s="28" t="s">
        <v>48</v>
      </c>
      <c r="C31" s="29">
        <v>1923</v>
      </c>
      <c r="D31" s="29">
        <v>0</v>
      </c>
      <c r="E31" s="29">
        <v>0</v>
      </c>
      <c r="F31" s="30">
        <v>105.36</v>
      </c>
      <c r="G31" s="31">
        <v>315</v>
      </c>
      <c r="H31" s="32">
        <v>485</v>
      </c>
      <c r="I31" s="33">
        <v>143.13</v>
      </c>
      <c r="J31" s="29">
        <v>485</v>
      </c>
      <c r="K31" s="29">
        <v>485</v>
      </c>
      <c r="L31" s="33">
        <v>176</v>
      </c>
      <c r="M31" s="32">
        <v>527</v>
      </c>
      <c r="N31" s="33">
        <v>730.25</v>
      </c>
      <c r="O31" s="34">
        <v>578.42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15" customHeight="1">
      <c r="A32" s="24"/>
      <c r="B32" s="28" t="s">
        <v>49</v>
      </c>
      <c r="C32" s="29">
        <v>0</v>
      </c>
      <c r="D32" s="29">
        <v>315</v>
      </c>
      <c r="E32" s="29">
        <v>315</v>
      </c>
      <c r="F32" s="30">
        <v>1688.07</v>
      </c>
      <c r="G32" s="31">
        <v>0</v>
      </c>
      <c r="H32" s="32">
        <v>2441</v>
      </c>
      <c r="I32" s="33">
        <v>0</v>
      </c>
      <c r="J32" s="29">
        <v>2448</v>
      </c>
      <c r="K32" s="29">
        <v>0</v>
      </c>
      <c r="L32" s="33">
        <v>0</v>
      </c>
      <c r="M32" s="32">
        <v>341</v>
      </c>
      <c r="N32" s="33">
        <v>420.76</v>
      </c>
      <c r="O32" s="34">
        <v>318.12</v>
      </c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5" customHeight="1">
      <c r="A33" s="24"/>
      <c r="B33" s="28" t="s">
        <v>50</v>
      </c>
      <c r="C33" s="29">
        <v>0</v>
      </c>
      <c r="D33" s="29">
        <v>0</v>
      </c>
      <c r="E33" s="29">
        <v>0</v>
      </c>
      <c r="F33" s="30">
        <v>3219.6</v>
      </c>
      <c r="G33" s="31">
        <v>0</v>
      </c>
      <c r="H33" s="32">
        <v>2549.36</v>
      </c>
      <c r="I33" s="33">
        <v>2397.23</v>
      </c>
      <c r="J33" s="29">
        <v>5180.37</v>
      </c>
      <c r="K33" s="29">
        <v>0</v>
      </c>
      <c r="L33" s="33">
        <v>31225.85</v>
      </c>
      <c r="M33" s="32">
        <v>3582</v>
      </c>
      <c r="N33" s="33">
        <v>0</v>
      </c>
      <c r="O33" s="34">
        <v>2985.79</v>
      </c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5" customHeight="1">
      <c r="A34" s="24"/>
      <c r="B34" s="28" t="s">
        <v>51</v>
      </c>
      <c r="C34" s="29">
        <v>0</v>
      </c>
      <c r="D34" s="29">
        <v>0</v>
      </c>
      <c r="E34" s="29">
        <v>0</v>
      </c>
      <c r="F34" s="30">
        <v>0</v>
      </c>
      <c r="G34" s="32">
        <v>0</v>
      </c>
      <c r="H34" s="32">
        <v>0</v>
      </c>
      <c r="I34" s="33">
        <v>0</v>
      </c>
      <c r="J34" s="29">
        <v>0</v>
      </c>
      <c r="K34" s="29">
        <v>32407.71</v>
      </c>
      <c r="L34" s="33"/>
      <c r="M34" s="32">
        <v>0</v>
      </c>
      <c r="N34" s="33">
        <v>10909.41</v>
      </c>
      <c r="O34" s="34">
        <v>818.97</v>
      </c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5" customHeight="1">
      <c r="A35" s="24"/>
      <c r="B35" s="28" t="s">
        <v>52</v>
      </c>
      <c r="C35" s="29">
        <v>82630</v>
      </c>
      <c r="D35" s="29">
        <v>0</v>
      </c>
      <c r="E35" s="29">
        <v>0</v>
      </c>
      <c r="F35" s="30">
        <v>0</v>
      </c>
      <c r="G35" s="32">
        <v>0</v>
      </c>
      <c r="H35" s="32">
        <v>0</v>
      </c>
      <c r="I35" s="33">
        <f>2844.24+3153.6+11790.01+4299.9+129.6+5900</f>
        <v>28117.35</v>
      </c>
      <c r="J35" s="29">
        <v>0</v>
      </c>
      <c r="K35" s="29">
        <v>0</v>
      </c>
      <c r="L35" s="33"/>
      <c r="M35" s="32">
        <v>5965</v>
      </c>
      <c r="N35" s="33">
        <f>15333.37+3873.02+16612.14</f>
        <v>35818.53</v>
      </c>
      <c r="O35" s="34">
        <f>15500+4500</f>
        <v>20000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5" customHeight="1">
      <c r="A36" s="24"/>
      <c r="B36" s="25" t="s">
        <v>130</v>
      </c>
      <c r="C36" s="29"/>
      <c r="D36" s="29"/>
      <c r="E36" s="29"/>
      <c r="F36" s="30"/>
      <c r="G36" s="32"/>
      <c r="H36" s="32"/>
      <c r="I36" s="33"/>
      <c r="J36" s="29"/>
      <c r="K36" s="29"/>
      <c r="L36" s="33"/>
      <c r="M36" s="32"/>
      <c r="N36" s="33"/>
      <c r="O36" s="34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5" customHeight="1">
      <c r="A37" s="24"/>
      <c r="B37" s="28" t="s">
        <v>53</v>
      </c>
      <c r="C37" s="29"/>
      <c r="D37" s="29"/>
      <c r="E37" s="29"/>
      <c r="F37" s="30">
        <v>13906.38</v>
      </c>
      <c r="G37" s="31">
        <v>0</v>
      </c>
      <c r="H37" s="32">
        <v>17457.45</v>
      </c>
      <c r="I37" s="33">
        <v>0</v>
      </c>
      <c r="J37" s="29">
        <v>41488.38</v>
      </c>
      <c r="K37" s="29">
        <v>27701.37</v>
      </c>
      <c r="L37" s="33">
        <v>13313.29</v>
      </c>
      <c r="M37" s="32">
        <v>13944</v>
      </c>
      <c r="N37" s="33">
        <v>0</v>
      </c>
      <c r="O37" s="34">
        <v>14266.43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5" customHeight="1">
      <c r="A38" s="24"/>
      <c r="B38" s="28" t="s">
        <v>54</v>
      </c>
      <c r="C38" s="29">
        <v>0</v>
      </c>
      <c r="D38" s="29">
        <v>16526</v>
      </c>
      <c r="E38" s="29">
        <v>19006</v>
      </c>
      <c r="F38" s="30">
        <f>110+144+5100</f>
        <v>5354</v>
      </c>
      <c r="G38" s="45">
        <v>21571.95</v>
      </c>
      <c r="H38" s="32">
        <v>0</v>
      </c>
      <c r="I38" s="33">
        <v>0</v>
      </c>
      <c r="J38" s="29"/>
      <c r="K38" s="29"/>
      <c r="L38" s="33">
        <f>12403.2+92+4960.73</f>
        <v>17455.93</v>
      </c>
      <c r="M38" s="32">
        <v>0</v>
      </c>
      <c r="N38" s="33">
        <f>3670+100</f>
        <v>3770</v>
      </c>
      <c r="O38" s="34">
        <v>14000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15" customHeight="1">
      <c r="A39" s="24"/>
      <c r="B39" s="25" t="s">
        <v>55</v>
      </c>
      <c r="C39" s="29">
        <v>7171</v>
      </c>
      <c r="D39" s="29">
        <v>1413</v>
      </c>
      <c r="E39" s="29">
        <v>1411</v>
      </c>
      <c r="F39" s="30">
        <v>44.39</v>
      </c>
      <c r="G39" s="45">
        <v>5480</v>
      </c>
      <c r="H39" s="32">
        <v>4612.14</v>
      </c>
      <c r="I39" s="33">
        <v>932.42</v>
      </c>
      <c r="J39" s="29">
        <v>3162.33</v>
      </c>
      <c r="K39" s="29">
        <v>2703.45</v>
      </c>
      <c r="L39" s="33">
        <v>1767.69</v>
      </c>
      <c r="M39" s="32">
        <v>5290</v>
      </c>
      <c r="N39" s="33">
        <v>2981.37</v>
      </c>
      <c r="O39" s="34">
        <v>2465.9</v>
      </c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ht="15" customHeight="1">
      <c r="A40" s="24"/>
      <c r="B40" s="25" t="s">
        <v>131</v>
      </c>
      <c r="C40" s="29"/>
      <c r="D40" s="29"/>
      <c r="E40" s="29"/>
      <c r="F40" s="30"/>
      <c r="G40" s="45"/>
      <c r="H40" s="32"/>
      <c r="I40" s="33"/>
      <c r="J40" s="29"/>
      <c r="K40" s="29"/>
      <c r="L40" s="33"/>
      <c r="M40" s="32"/>
      <c r="N40" s="33"/>
      <c r="O40" s="34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ht="15" customHeight="1">
      <c r="A41" s="24"/>
      <c r="B41" s="28" t="s">
        <v>56</v>
      </c>
      <c r="C41" s="29">
        <v>196392</v>
      </c>
      <c r="D41" s="29">
        <v>35133</v>
      </c>
      <c r="E41" s="29">
        <v>31727</v>
      </c>
      <c r="F41" s="30">
        <f>3210.24+25958.3</f>
        <v>29168.54</v>
      </c>
      <c r="G41" s="45">
        <v>27874.69</v>
      </c>
      <c r="H41" s="32">
        <v>26604.97</v>
      </c>
      <c r="I41" s="33">
        <v>22781.53</v>
      </c>
      <c r="J41" s="29">
        <v>32507.02</v>
      </c>
      <c r="K41" s="29">
        <v>32507.02</v>
      </c>
      <c r="L41" s="33">
        <f>3399.72+28582.95</f>
        <v>31982.670000000002</v>
      </c>
      <c r="M41" s="32">
        <v>30611</v>
      </c>
      <c r="N41" s="33">
        <v>50209.93</v>
      </c>
      <c r="O41" s="34">
        <f>54495.57+4469.72</f>
        <v>58965.29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15" customHeight="1">
      <c r="A42" s="24"/>
      <c r="B42" s="28" t="s">
        <v>57</v>
      </c>
      <c r="C42" s="29">
        <v>0</v>
      </c>
      <c r="D42" s="29">
        <v>4145</v>
      </c>
      <c r="E42" s="29">
        <v>7734</v>
      </c>
      <c r="F42" s="30">
        <v>0</v>
      </c>
      <c r="G42" s="45">
        <v>9919.26</v>
      </c>
      <c r="H42" s="32">
        <v>8007.49</v>
      </c>
      <c r="I42" s="33">
        <v>0</v>
      </c>
      <c r="J42" s="29">
        <v>4621.58</v>
      </c>
      <c r="K42" s="29">
        <v>4989.7</v>
      </c>
      <c r="L42" s="33">
        <v>0</v>
      </c>
      <c r="M42" s="32">
        <v>0</v>
      </c>
      <c r="N42" s="33">
        <v>4000</v>
      </c>
      <c r="O42" s="34">
        <v>14763.66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s="42" customFormat="1" ht="15" customHeight="1">
      <c r="A43" s="24"/>
      <c r="B43" s="35" t="s">
        <v>58</v>
      </c>
      <c r="C43" s="36">
        <f>SUM(C29:C42)</f>
        <v>288116</v>
      </c>
      <c r="D43" s="36">
        <f>SUM(D29:D42)</f>
        <v>57532</v>
      </c>
      <c r="E43" s="36">
        <f>SUM(E29:E42)</f>
        <v>60193</v>
      </c>
      <c r="F43" s="37">
        <f>SUM(F29:F42)</f>
        <v>53486.34</v>
      </c>
      <c r="G43" s="46">
        <f>SUM(G28:G42)</f>
        <v>67749.9</v>
      </c>
      <c r="H43" s="46">
        <f>SUM(H28:H42)</f>
        <v>62157.409999999996</v>
      </c>
      <c r="I43" s="47">
        <f>SUM(I28:I42)</f>
        <v>54371.659999999996</v>
      </c>
      <c r="J43" s="36">
        <f aca="true" t="shared" si="1" ref="J43:O43">SUM(J29:J42)</f>
        <v>89892.68000000001</v>
      </c>
      <c r="K43" s="36">
        <f t="shared" si="1"/>
        <v>100794.25</v>
      </c>
      <c r="L43" s="39">
        <f t="shared" si="1"/>
        <v>95921.43000000001</v>
      </c>
      <c r="M43" s="38">
        <f t="shared" si="1"/>
        <v>62849</v>
      </c>
      <c r="N43" s="39">
        <f t="shared" si="1"/>
        <v>111429.25</v>
      </c>
      <c r="O43" s="40">
        <f t="shared" si="1"/>
        <v>131841.15</v>
      </c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</row>
    <row r="44" spans="1:34" ht="15" customHeight="1">
      <c r="A44" s="24"/>
      <c r="B44" s="28"/>
      <c r="C44" s="29"/>
      <c r="D44" s="29"/>
      <c r="E44" s="29"/>
      <c r="F44" s="43"/>
      <c r="G44" s="32"/>
      <c r="H44" s="32"/>
      <c r="I44" s="33"/>
      <c r="J44" s="29"/>
      <c r="K44" s="44"/>
      <c r="L44" s="39"/>
      <c r="M44" s="32"/>
      <c r="N44" s="33"/>
      <c r="O44" s="34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5" customHeight="1">
      <c r="A45" s="24" t="s">
        <v>59</v>
      </c>
      <c r="B45" s="25" t="s">
        <v>132</v>
      </c>
      <c r="C45" s="36">
        <v>0</v>
      </c>
      <c r="D45" s="36">
        <v>0</v>
      </c>
      <c r="E45" s="36">
        <v>0</v>
      </c>
      <c r="F45" s="37">
        <v>0</v>
      </c>
      <c r="G45" s="38">
        <v>3536</v>
      </c>
      <c r="H45" s="38">
        <v>3901</v>
      </c>
      <c r="I45" s="39">
        <v>0</v>
      </c>
      <c r="J45" s="36">
        <v>3890</v>
      </c>
      <c r="K45" s="36">
        <v>3890</v>
      </c>
      <c r="L45" s="39">
        <v>0</v>
      </c>
      <c r="M45" s="38">
        <f>3890+26500</f>
        <v>30390</v>
      </c>
      <c r="N45" s="39">
        <f>15000+6262.52</f>
        <v>21262.52</v>
      </c>
      <c r="O45" s="40">
        <v>15000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ht="15" customHeight="1">
      <c r="A46" s="24"/>
      <c r="B46" s="28"/>
      <c r="C46" s="29"/>
      <c r="D46" s="29"/>
      <c r="E46" s="29"/>
      <c r="F46" s="30"/>
      <c r="G46" s="32"/>
      <c r="H46" s="32"/>
      <c r="I46" s="33"/>
      <c r="J46" s="29"/>
      <c r="K46" s="29"/>
      <c r="L46" s="33"/>
      <c r="M46" s="32"/>
      <c r="N46" s="33"/>
      <c r="O46" s="34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ht="15" customHeight="1">
      <c r="A47" s="24" t="s">
        <v>60</v>
      </c>
      <c r="B47" s="25" t="s">
        <v>133</v>
      </c>
      <c r="C47" s="29"/>
      <c r="D47" s="29"/>
      <c r="E47" s="29"/>
      <c r="F47" s="30"/>
      <c r="G47" s="32"/>
      <c r="H47" s="32"/>
      <c r="I47" s="33"/>
      <c r="J47" s="29"/>
      <c r="K47" s="29"/>
      <c r="L47" s="33"/>
      <c r="M47" s="32"/>
      <c r="N47" s="33"/>
      <c r="O47" s="34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15" customHeight="1">
      <c r="A48" s="24"/>
      <c r="B48" s="28" t="s">
        <v>61</v>
      </c>
      <c r="C48" s="29">
        <v>381903</v>
      </c>
      <c r="D48" s="29">
        <v>63485</v>
      </c>
      <c r="E48" s="29">
        <v>93767</v>
      </c>
      <c r="F48" s="30">
        <v>79484.44</v>
      </c>
      <c r="G48" s="45">
        <v>98657.35</v>
      </c>
      <c r="H48" s="32">
        <v>92588.79</v>
      </c>
      <c r="I48" s="33">
        <v>89343.56</v>
      </c>
      <c r="J48" s="29">
        <v>138716.42</v>
      </c>
      <c r="K48" s="29">
        <v>127024.18</v>
      </c>
      <c r="L48" s="33">
        <v>141216.6</v>
      </c>
      <c r="M48" s="32">
        <v>137830.74</v>
      </c>
      <c r="N48" s="33">
        <v>122908.2</v>
      </c>
      <c r="O48" s="34">
        <v>158033.98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ht="15" customHeight="1">
      <c r="A49" s="24"/>
      <c r="B49" s="28" t="s">
        <v>62</v>
      </c>
      <c r="C49" s="29">
        <v>104746</v>
      </c>
      <c r="D49" s="29">
        <v>20496</v>
      </c>
      <c r="E49" s="29">
        <v>22460</v>
      </c>
      <c r="F49" s="30">
        <v>19481.35</v>
      </c>
      <c r="G49" s="45">
        <v>21461.15</v>
      </c>
      <c r="H49" s="32">
        <v>17470.7</v>
      </c>
      <c r="I49" s="33">
        <v>20632.66</v>
      </c>
      <c r="J49" s="29">
        <v>22269.89</v>
      </c>
      <c r="K49" s="29">
        <v>23269.89</v>
      </c>
      <c r="L49" s="33">
        <v>23009.06</v>
      </c>
      <c r="M49" s="32">
        <v>25531.26</v>
      </c>
      <c r="N49" s="33">
        <v>29746.2</v>
      </c>
      <c r="O49" s="34">
        <v>30284.28</v>
      </c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ht="15" customHeight="1">
      <c r="A50" s="24"/>
      <c r="B50" s="28" t="s">
        <v>63</v>
      </c>
      <c r="C50" s="29">
        <v>3740</v>
      </c>
      <c r="D50" s="29">
        <v>737</v>
      </c>
      <c r="E50" s="29">
        <v>737</v>
      </c>
      <c r="F50" s="30">
        <v>255.02</v>
      </c>
      <c r="G50" s="45">
        <v>667.05</v>
      </c>
      <c r="H50" s="32">
        <v>316.45</v>
      </c>
      <c r="I50" s="33">
        <v>342.83</v>
      </c>
      <c r="J50" s="29">
        <v>582.25</v>
      </c>
      <c r="K50" s="29">
        <v>517</v>
      </c>
      <c r="L50" s="33">
        <v>466.8</v>
      </c>
      <c r="M50" s="32">
        <v>651</v>
      </c>
      <c r="N50" s="33">
        <v>673.04</v>
      </c>
      <c r="O50" s="34">
        <v>924</v>
      </c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ht="15" customHeight="1">
      <c r="A51" s="24"/>
      <c r="B51" s="28" t="s">
        <v>64</v>
      </c>
      <c r="C51" s="29">
        <v>1200</v>
      </c>
      <c r="D51" s="29">
        <v>134</v>
      </c>
      <c r="E51" s="29">
        <v>261</v>
      </c>
      <c r="F51" s="30">
        <v>261</v>
      </c>
      <c r="G51" s="45">
        <v>1334</v>
      </c>
      <c r="H51" s="32">
        <v>119.7</v>
      </c>
      <c r="I51" s="33">
        <v>116.02</v>
      </c>
      <c r="J51" s="29">
        <v>884.01</v>
      </c>
      <c r="K51" s="29">
        <v>810</v>
      </c>
      <c r="L51" s="33">
        <v>497.1</v>
      </c>
      <c r="M51" s="32">
        <v>145</v>
      </c>
      <c r="N51" s="33">
        <v>175</v>
      </c>
      <c r="O51" s="34">
        <v>159.15</v>
      </c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s="42" customFormat="1" ht="15" customHeight="1">
      <c r="A52" s="24"/>
      <c r="B52" s="35" t="s">
        <v>65</v>
      </c>
      <c r="C52" s="36">
        <f aca="true" t="shared" si="2" ref="C52:M52">SUM(C48:C51)</f>
        <v>491589</v>
      </c>
      <c r="D52" s="36">
        <f t="shared" si="2"/>
        <v>84852</v>
      </c>
      <c r="E52" s="36">
        <f t="shared" si="2"/>
        <v>117225</v>
      </c>
      <c r="F52" s="37">
        <f>SUM(F48:F51)</f>
        <v>99481.81000000001</v>
      </c>
      <c r="G52" s="36">
        <f t="shared" si="2"/>
        <v>122119.55</v>
      </c>
      <c r="H52" s="36">
        <f t="shared" si="2"/>
        <v>110495.63999999998</v>
      </c>
      <c r="I52" s="37">
        <f>SUM(I48:I51)</f>
        <v>110435.07</v>
      </c>
      <c r="J52" s="36">
        <f t="shared" si="2"/>
        <v>162452.57</v>
      </c>
      <c r="K52" s="36">
        <f t="shared" si="2"/>
        <v>151621.07</v>
      </c>
      <c r="L52" s="39">
        <f>SUM(L48:L51)</f>
        <v>165189.56</v>
      </c>
      <c r="M52" s="36">
        <f t="shared" si="2"/>
        <v>164158</v>
      </c>
      <c r="N52" s="37">
        <f>SUM(N48:N51)</f>
        <v>153502.44</v>
      </c>
      <c r="O52" s="40">
        <f>SUM(O48:O51)</f>
        <v>189401.41</v>
      </c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</row>
    <row r="53" spans="1:34" ht="15" customHeight="1">
      <c r="A53" s="24"/>
      <c r="B53" s="28"/>
      <c r="C53" s="29"/>
      <c r="D53" s="29"/>
      <c r="E53" s="29"/>
      <c r="F53" s="43"/>
      <c r="G53" s="38"/>
      <c r="H53" s="38"/>
      <c r="I53" s="39"/>
      <c r="J53" s="29"/>
      <c r="K53" s="48"/>
      <c r="L53" s="33"/>
      <c r="M53" s="38"/>
      <c r="N53" s="49"/>
      <c r="O53" s="40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ht="15" customHeight="1">
      <c r="A54" s="24" t="s">
        <v>66</v>
      </c>
      <c r="B54" s="25" t="s">
        <v>134</v>
      </c>
      <c r="C54" s="29"/>
      <c r="D54" s="29"/>
      <c r="E54" s="29"/>
      <c r="F54" s="30"/>
      <c r="G54" s="32"/>
      <c r="H54" s="32"/>
      <c r="I54" s="33"/>
      <c r="J54" s="29"/>
      <c r="K54" s="29"/>
      <c r="L54" s="33"/>
      <c r="M54" s="32"/>
      <c r="N54" s="33"/>
      <c r="O54" s="34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ht="15" customHeight="1">
      <c r="A55" s="24"/>
      <c r="B55" s="28" t="s">
        <v>67</v>
      </c>
      <c r="C55" s="29">
        <v>550378</v>
      </c>
      <c r="D55" s="29">
        <v>91376</v>
      </c>
      <c r="E55" s="29">
        <v>130499</v>
      </c>
      <c r="F55" s="30">
        <v>148179.81</v>
      </c>
      <c r="G55" s="45">
        <v>81475.27</v>
      </c>
      <c r="H55" s="32">
        <v>57207.35</v>
      </c>
      <c r="I55" s="33">
        <v>114503</v>
      </c>
      <c r="J55" s="29">
        <v>91691.96</v>
      </c>
      <c r="K55" s="29">
        <v>88942</v>
      </c>
      <c r="L55" s="33">
        <v>109504</v>
      </c>
      <c r="M55" s="32">
        <v>132297</v>
      </c>
      <c r="N55" s="33">
        <v>125824.18</v>
      </c>
      <c r="O55" s="34">
        <f>99762+16667.26</f>
        <v>116429.26</v>
      </c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ht="15" customHeight="1">
      <c r="A56" s="24"/>
      <c r="B56" s="28" t="s">
        <v>68</v>
      </c>
      <c r="C56" s="29">
        <v>242</v>
      </c>
      <c r="D56" s="29">
        <v>107</v>
      </c>
      <c r="E56" s="29">
        <v>417</v>
      </c>
      <c r="F56" s="30">
        <f>350.99+875.28</f>
        <v>1226.27</v>
      </c>
      <c r="G56" s="45">
        <v>369</v>
      </c>
      <c r="H56" s="32">
        <v>369</v>
      </c>
      <c r="I56" s="33">
        <f>282.89+3222.69</f>
        <v>3505.58</v>
      </c>
      <c r="J56" s="29">
        <v>450</v>
      </c>
      <c r="K56" s="29">
        <v>450</v>
      </c>
      <c r="L56" s="33">
        <f>309.8+3641.64</f>
        <v>3951.44</v>
      </c>
      <c r="M56" s="32">
        <v>4214</v>
      </c>
      <c r="N56" s="33">
        <f>632+4632.45</f>
        <v>5264.45</v>
      </c>
      <c r="O56" s="34">
        <f>693.67+4484.49</f>
        <v>5178.16</v>
      </c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s="42" customFormat="1" ht="15" customHeight="1">
      <c r="A57" s="24"/>
      <c r="B57" s="35" t="s">
        <v>69</v>
      </c>
      <c r="C57" s="36">
        <f aca="true" t="shared" si="3" ref="C57:H57">SUM(C55:C56)</f>
        <v>550620</v>
      </c>
      <c r="D57" s="36">
        <f t="shared" si="3"/>
        <v>91483</v>
      </c>
      <c r="E57" s="36">
        <f t="shared" si="3"/>
        <v>130916</v>
      </c>
      <c r="F57" s="37">
        <f>SUM(F55:F56)</f>
        <v>149406.08</v>
      </c>
      <c r="G57" s="46">
        <f t="shared" si="3"/>
        <v>81844.27</v>
      </c>
      <c r="H57" s="46">
        <f t="shared" si="3"/>
        <v>57576.35</v>
      </c>
      <c r="I57" s="47">
        <f aca="true" t="shared" si="4" ref="I57:O57">SUM(I55:I56)</f>
        <v>118008.58</v>
      </c>
      <c r="J57" s="36">
        <f t="shared" si="4"/>
        <v>92141.96</v>
      </c>
      <c r="K57" s="36">
        <f t="shared" si="4"/>
        <v>89392</v>
      </c>
      <c r="L57" s="39">
        <f t="shared" si="4"/>
        <v>113455.44</v>
      </c>
      <c r="M57" s="38">
        <f t="shared" si="4"/>
        <v>136511</v>
      </c>
      <c r="N57" s="39">
        <f t="shared" si="4"/>
        <v>131088.63</v>
      </c>
      <c r="O57" s="50">
        <f t="shared" si="4"/>
        <v>121607.42</v>
      </c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</row>
    <row r="58" spans="1:34" ht="15" customHeight="1">
      <c r="A58" s="24"/>
      <c r="B58" s="25"/>
      <c r="C58" s="29"/>
      <c r="D58" s="29"/>
      <c r="E58" s="29"/>
      <c r="F58" s="43"/>
      <c r="G58" s="32"/>
      <c r="H58" s="32"/>
      <c r="I58" s="33"/>
      <c r="J58" s="29"/>
      <c r="K58" s="51"/>
      <c r="L58" s="33"/>
      <c r="M58" s="32"/>
      <c r="N58" s="33"/>
      <c r="O58" s="34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ht="15" customHeight="1">
      <c r="A59" s="24" t="s">
        <v>70</v>
      </c>
      <c r="B59" s="25" t="s">
        <v>135</v>
      </c>
      <c r="C59" s="29"/>
      <c r="D59" s="29"/>
      <c r="E59" s="29"/>
      <c r="F59" s="30"/>
      <c r="G59" s="32"/>
      <c r="H59" s="32"/>
      <c r="I59" s="33"/>
      <c r="J59" s="29"/>
      <c r="K59" s="29"/>
      <c r="L59" s="33"/>
      <c r="M59" s="32"/>
      <c r="N59" s="33"/>
      <c r="O59" s="34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ht="15" customHeight="1">
      <c r="A60" s="24"/>
      <c r="B60" s="28" t="s">
        <v>71</v>
      </c>
      <c r="C60" s="29">
        <v>3358</v>
      </c>
      <c r="D60" s="29">
        <v>2766</v>
      </c>
      <c r="E60" s="29">
        <v>1899</v>
      </c>
      <c r="F60" s="30">
        <v>1173.16</v>
      </c>
      <c r="G60" s="45">
        <v>4305.22</v>
      </c>
      <c r="H60" s="32">
        <v>1743.88</v>
      </c>
      <c r="I60" s="33">
        <v>2903.39</v>
      </c>
      <c r="J60" s="29">
        <v>3401.29</v>
      </c>
      <c r="K60" s="29">
        <v>370.91</v>
      </c>
      <c r="L60" s="33">
        <v>3895.96</v>
      </c>
      <c r="M60" s="32">
        <v>690</v>
      </c>
      <c r="N60" s="33">
        <v>4497.69</v>
      </c>
      <c r="O60" s="34">
        <v>7569.75</v>
      </c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ht="15" customHeight="1">
      <c r="A61" s="24"/>
      <c r="B61" s="28" t="s">
        <v>72</v>
      </c>
      <c r="C61" s="29">
        <v>13665</v>
      </c>
      <c r="D61" s="29">
        <v>618</v>
      </c>
      <c r="E61" s="29">
        <v>3050</v>
      </c>
      <c r="F61" s="30">
        <v>2900.38</v>
      </c>
      <c r="G61" s="45">
        <v>618</v>
      </c>
      <c r="H61" s="32">
        <v>3558.45</v>
      </c>
      <c r="I61" s="33">
        <v>415.37</v>
      </c>
      <c r="J61" s="52">
        <v>400.34</v>
      </c>
      <c r="K61" s="52">
        <v>3453.45</v>
      </c>
      <c r="L61" s="33">
        <v>436.64</v>
      </c>
      <c r="M61" s="32">
        <v>3773.88</v>
      </c>
      <c r="N61" s="33">
        <v>10712.98</v>
      </c>
      <c r="O61" s="34">
        <v>1498.31</v>
      </c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ht="15" customHeight="1">
      <c r="A62" s="24"/>
      <c r="B62" s="28" t="s">
        <v>73</v>
      </c>
      <c r="C62" s="29">
        <v>3215</v>
      </c>
      <c r="D62" s="29">
        <v>735</v>
      </c>
      <c r="E62" s="29">
        <v>529</v>
      </c>
      <c r="F62" s="30">
        <v>388.46</v>
      </c>
      <c r="G62" s="45">
        <v>579</v>
      </c>
      <c r="H62" s="32">
        <v>545.41</v>
      </c>
      <c r="I62" s="33">
        <v>369.73</v>
      </c>
      <c r="J62" s="29">
        <v>583.82</v>
      </c>
      <c r="K62" s="29">
        <v>487.02</v>
      </c>
      <c r="L62" s="33">
        <v>409.61</v>
      </c>
      <c r="M62" s="32">
        <v>651</v>
      </c>
      <c r="N62" s="33">
        <v>2967.48</v>
      </c>
      <c r="O62" s="34">
        <v>532.59</v>
      </c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s="42" customFormat="1" ht="15" customHeight="1">
      <c r="A63" s="24"/>
      <c r="B63" s="35" t="s">
        <v>74</v>
      </c>
      <c r="C63" s="36">
        <f aca="true" t="shared" si="5" ref="C63:K63">SUM(C60:C62)</f>
        <v>20238</v>
      </c>
      <c r="D63" s="36">
        <f t="shared" si="5"/>
        <v>4119</v>
      </c>
      <c r="E63" s="36">
        <f t="shared" si="5"/>
        <v>5478</v>
      </c>
      <c r="F63" s="37">
        <f>SUM(F60:F62)</f>
        <v>4462</v>
      </c>
      <c r="G63" s="38">
        <f t="shared" si="5"/>
        <v>5502.22</v>
      </c>
      <c r="H63" s="38">
        <f t="shared" si="5"/>
        <v>5847.74</v>
      </c>
      <c r="I63" s="39">
        <f>SUM(I60:I62)</f>
        <v>3688.49</v>
      </c>
      <c r="J63" s="36">
        <f t="shared" si="5"/>
        <v>4385.45</v>
      </c>
      <c r="K63" s="36">
        <f t="shared" si="5"/>
        <v>4311.379999999999</v>
      </c>
      <c r="L63" s="39">
        <f>SUM(L60:L62)</f>
        <v>4742.21</v>
      </c>
      <c r="M63" s="38">
        <v>5114.88</v>
      </c>
      <c r="N63" s="39">
        <f>SUM(N60:N62)</f>
        <v>18178.149999999998</v>
      </c>
      <c r="O63" s="40">
        <f>SUM(O60:O62)</f>
        <v>9600.65</v>
      </c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</row>
    <row r="64" spans="1:34" ht="15" customHeight="1">
      <c r="A64" s="24"/>
      <c r="B64" s="25"/>
      <c r="C64" s="29"/>
      <c r="D64" s="29"/>
      <c r="E64" s="29"/>
      <c r="F64" s="43"/>
      <c r="G64" s="32"/>
      <c r="H64" s="32"/>
      <c r="I64" s="33"/>
      <c r="J64" s="29"/>
      <c r="K64" s="44"/>
      <c r="L64" s="33"/>
      <c r="M64" s="32"/>
      <c r="N64" s="33"/>
      <c r="O64" s="34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ht="15" customHeight="1">
      <c r="A65" s="24" t="s">
        <v>75</v>
      </c>
      <c r="B65" s="25" t="s">
        <v>136</v>
      </c>
      <c r="C65" s="29"/>
      <c r="D65" s="29"/>
      <c r="E65" s="29"/>
      <c r="F65" s="30"/>
      <c r="G65" s="32"/>
      <c r="H65" s="32"/>
      <c r="I65" s="33"/>
      <c r="J65" s="29"/>
      <c r="K65" s="29"/>
      <c r="L65" s="33"/>
      <c r="M65" s="32"/>
      <c r="N65" s="33"/>
      <c r="O65" s="34"/>
      <c r="P65" s="6"/>
      <c r="Q65" s="6"/>
      <c r="R65" s="6" t="s">
        <v>76</v>
      </c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4" ht="15" customHeight="1">
      <c r="A66" s="24"/>
      <c r="B66" s="28" t="s">
        <v>77</v>
      </c>
      <c r="C66" s="29">
        <v>0</v>
      </c>
      <c r="D66" s="29">
        <v>0</v>
      </c>
      <c r="E66" s="29">
        <v>0</v>
      </c>
      <c r="F66" s="30">
        <v>0</v>
      </c>
      <c r="G66" s="32">
        <v>0</v>
      </c>
      <c r="H66" s="32">
        <v>0</v>
      </c>
      <c r="I66" s="33">
        <v>0</v>
      </c>
      <c r="J66" s="32">
        <v>0</v>
      </c>
      <c r="K66" s="32">
        <v>0</v>
      </c>
      <c r="L66" s="33">
        <v>0</v>
      </c>
      <c r="M66" s="32">
        <v>0</v>
      </c>
      <c r="N66" s="33">
        <v>0</v>
      </c>
      <c r="O66" s="34">
        <v>0</v>
      </c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ht="15" customHeight="1">
      <c r="A67" s="24"/>
      <c r="B67" s="28" t="s">
        <v>78</v>
      </c>
      <c r="C67" s="29">
        <v>2805</v>
      </c>
      <c r="D67" s="29">
        <v>1460</v>
      </c>
      <c r="E67" s="29">
        <v>2242</v>
      </c>
      <c r="F67" s="30">
        <v>2234.09</v>
      </c>
      <c r="G67" s="45">
        <v>2232</v>
      </c>
      <c r="H67" s="32">
        <v>2185.36</v>
      </c>
      <c r="I67" s="33">
        <v>2037.75</v>
      </c>
      <c r="J67" s="29">
        <v>132.88</v>
      </c>
      <c r="K67" s="29">
        <v>150</v>
      </c>
      <c r="L67" s="33">
        <v>213.02</v>
      </c>
      <c r="M67" s="32">
        <v>164</v>
      </c>
      <c r="N67" s="33">
        <v>1664</v>
      </c>
      <c r="O67" s="34">
        <v>1240</v>
      </c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ht="15" customHeight="1">
      <c r="A68" s="24"/>
      <c r="B68" s="28" t="s">
        <v>79</v>
      </c>
      <c r="C68" s="29">
        <v>132500</v>
      </c>
      <c r="D68" s="29">
        <v>26500</v>
      </c>
      <c r="E68" s="29">
        <v>26551</v>
      </c>
      <c r="F68" s="30">
        <v>20349.41</v>
      </c>
      <c r="G68" s="45">
        <v>39077.39</v>
      </c>
      <c r="H68" s="32">
        <v>36533.19</v>
      </c>
      <c r="I68" s="33">
        <v>33749.98</v>
      </c>
      <c r="J68" s="29">
        <v>78952.4</v>
      </c>
      <c r="K68" s="29">
        <v>51177.35</v>
      </c>
      <c r="L68" s="33">
        <v>56391.92</v>
      </c>
      <c r="M68" s="32">
        <v>65000</v>
      </c>
      <c r="N68" s="33">
        <v>84275.37</v>
      </c>
      <c r="O68" s="34">
        <v>88523</v>
      </c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ht="15" customHeight="1">
      <c r="A69" s="24"/>
      <c r="B69" s="28" t="s">
        <v>80</v>
      </c>
      <c r="C69" s="29">
        <v>0</v>
      </c>
      <c r="D69" s="29">
        <v>0</v>
      </c>
      <c r="E69" s="29">
        <v>0</v>
      </c>
      <c r="F69" s="30">
        <v>0</v>
      </c>
      <c r="G69" s="45">
        <v>0</v>
      </c>
      <c r="H69" s="32">
        <v>0</v>
      </c>
      <c r="I69" s="33">
        <v>0</v>
      </c>
      <c r="J69" s="32">
        <v>0</v>
      </c>
      <c r="K69" s="32">
        <v>0</v>
      </c>
      <c r="L69" s="33">
        <v>0</v>
      </c>
      <c r="M69" s="32">
        <v>0</v>
      </c>
      <c r="N69" s="33">
        <v>0</v>
      </c>
      <c r="O69" s="34">
        <v>0</v>
      </c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ht="15" customHeight="1">
      <c r="A70" s="24"/>
      <c r="B70" s="28" t="s">
        <v>81</v>
      </c>
      <c r="C70" s="29">
        <v>0</v>
      </c>
      <c r="D70" s="29">
        <v>0</v>
      </c>
      <c r="E70" s="29">
        <v>0</v>
      </c>
      <c r="F70" s="30">
        <v>0</v>
      </c>
      <c r="G70" s="45">
        <v>0</v>
      </c>
      <c r="H70" s="32">
        <v>0</v>
      </c>
      <c r="I70" s="33">
        <v>0</v>
      </c>
      <c r="J70" s="32">
        <v>0</v>
      </c>
      <c r="K70" s="32">
        <v>0</v>
      </c>
      <c r="L70" s="33">
        <v>0</v>
      </c>
      <c r="M70" s="32">
        <v>0</v>
      </c>
      <c r="N70" s="33">
        <v>0</v>
      </c>
      <c r="O70" s="34">
        <v>0</v>
      </c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ht="15" customHeight="1">
      <c r="A71" s="24"/>
      <c r="B71" s="28" t="s">
        <v>82</v>
      </c>
      <c r="C71" s="29">
        <v>0</v>
      </c>
      <c r="D71" s="29">
        <v>0</v>
      </c>
      <c r="E71" s="29">
        <v>0</v>
      </c>
      <c r="F71" s="30">
        <v>0</v>
      </c>
      <c r="G71" s="45">
        <v>0</v>
      </c>
      <c r="H71" s="32">
        <v>0</v>
      </c>
      <c r="I71" s="33">
        <v>0</v>
      </c>
      <c r="J71" s="32">
        <v>0</v>
      </c>
      <c r="K71" s="32">
        <v>0</v>
      </c>
      <c r="L71" s="33">
        <v>0</v>
      </c>
      <c r="M71" s="32">
        <v>0</v>
      </c>
      <c r="N71" s="33">
        <v>0</v>
      </c>
      <c r="O71" s="34">
        <v>0</v>
      </c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s="42" customFormat="1" ht="15" customHeight="1">
      <c r="A72" s="24"/>
      <c r="B72" s="35" t="s">
        <v>83</v>
      </c>
      <c r="C72" s="36">
        <f aca="true" t="shared" si="6" ref="C72:K72">SUM(C66:C71)</f>
        <v>135305</v>
      </c>
      <c r="D72" s="36">
        <f t="shared" si="6"/>
        <v>27960</v>
      </c>
      <c r="E72" s="36">
        <f t="shared" si="6"/>
        <v>28793</v>
      </c>
      <c r="F72" s="37">
        <f>SUM(F66:F71)</f>
        <v>22583.5</v>
      </c>
      <c r="G72" s="38">
        <f t="shared" si="6"/>
        <v>41309.39</v>
      </c>
      <c r="H72" s="38">
        <f t="shared" si="6"/>
        <v>38718.55</v>
      </c>
      <c r="I72" s="39">
        <f>SUM(I66:I71)</f>
        <v>35787.73</v>
      </c>
      <c r="J72" s="36">
        <f t="shared" si="6"/>
        <v>79085.28</v>
      </c>
      <c r="K72" s="36">
        <f t="shared" si="6"/>
        <v>51327.35</v>
      </c>
      <c r="L72" s="39">
        <f>SUM(L66:L71)</f>
        <v>56604.939999999995</v>
      </c>
      <c r="M72" s="38">
        <v>65164</v>
      </c>
      <c r="N72" s="39">
        <f>SUM(N66:N71)</f>
        <v>85939.37</v>
      </c>
      <c r="O72" s="50">
        <f>SUM(O66:O71)</f>
        <v>89763</v>
      </c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</row>
    <row r="73" spans="1:34" ht="15" customHeight="1">
      <c r="A73" s="24"/>
      <c r="B73" s="25"/>
      <c r="C73" s="36"/>
      <c r="D73" s="36"/>
      <c r="E73" s="36"/>
      <c r="F73" s="43"/>
      <c r="G73" s="38"/>
      <c r="H73" s="38"/>
      <c r="I73" s="39"/>
      <c r="J73" s="36"/>
      <c r="K73" s="53"/>
      <c r="L73" s="39"/>
      <c r="M73" s="38"/>
      <c r="N73" s="49"/>
      <c r="O73" s="40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4" ht="15" customHeight="1">
      <c r="A74" s="24" t="s">
        <v>84</v>
      </c>
      <c r="B74" s="25" t="s">
        <v>137</v>
      </c>
      <c r="C74" s="36">
        <v>0</v>
      </c>
      <c r="D74" s="36">
        <v>0</v>
      </c>
      <c r="E74" s="36">
        <v>0</v>
      </c>
      <c r="F74" s="37">
        <v>49.06</v>
      </c>
      <c r="G74" s="38">
        <v>0</v>
      </c>
      <c r="H74" s="38">
        <v>0</v>
      </c>
      <c r="I74" s="39">
        <v>71</v>
      </c>
      <c r="J74" s="36">
        <v>0</v>
      </c>
      <c r="K74" s="36">
        <v>0</v>
      </c>
      <c r="L74" s="39">
        <v>74.1</v>
      </c>
      <c r="M74" s="38">
        <v>0</v>
      </c>
      <c r="N74" s="39">
        <v>298.64</v>
      </c>
      <c r="O74" s="40">
        <v>100</v>
      </c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4" ht="15" customHeight="1">
      <c r="A75" s="24"/>
      <c r="B75" s="25"/>
      <c r="C75" s="29"/>
      <c r="D75" s="29"/>
      <c r="E75" s="29"/>
      <c r="F75" s="43"/>
      <c r="G75" s="32"/>
      <c r="H75" s="32"/>
      <c r="I75" s="33"/>
      <c r="J75" s="29"/>
      <c r="K75" s="29"/>
      <c r="L75" s="33"/>
      <c r="M75" s="32"/>
      <c r="N75" s="33"/>
      <c r="O75" s="34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4" ht="15" customHeight="1">
      <c r="A76" s="54" t="s">
        <v>85</v>
      </c>
      <c r="B76" s="25" t="s">
        <v>138</v>
      </c>
      <c r="C76" s="29"/>
      <c r="D76" s="29"/>
      <c r="E76" s="29"/>
      <c r="F76" s="30"/>
      <c r="G76" s="32"/>
      <c r="H76" s="32"/>
      <c r="I76" s="33"/>
      <c r="J76" s="29"/>
      <c r="K76" s="29"/>
      <c r="L76" s="33"/>
      <c r="M76" s="32"/>
      <c r="N76" s="33"/>
      <c r="O76" s="34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4" ht="15" customHeight="1">
      <c r="A77" s="24"/>
      <c r="B77" s="28" t="s">
        <v>86</v>
      </c>
      <c r="C77" s="29">
        <v>858</v>
      </c>
      <c r="D77" s="29">
        <v>172</v>
      </c>
      <c r="E77" s="29">
        <v>190</v>
      </c>
      <c r="F77" s="30">
        <v>190</v>
      </c>
      <c r="G77" s="45">
        <v>191.5</v>
      </c>
      <c r="H77" s="32">
        <v>191.5</v>
      </c>
      <c r="I77" s="33">
        <v>172.35</v>
      </c>
      <c r="J77" s="29">
        <v>201.5</v>
      </c>
      <c r="K77" s="29">
        <v>201.5</v>
      </c>
      <c r="L77" s="33">
        <v>201.5</v>
      </c>
      <c r="M77" s="32">
        <v>707</v>
      </c>
      <c r="N77" s="33">
        <v>219</v>
      </c>
      <c r="O77" s="34">
        <v>350</v>
      </c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4" ht="15" customHeight="1">
      <c r="A78" s="24"/>
      <c r="B78" s="28" t="s">
        <v>87</v>
      </c>
      <c r="C78" s="29">
        <v>5112</v>
      </c>
      <c r="D78" s="29">
        <v>909</v>
      </c>
      <c r="E78" s="29">
        <v>4042</v>
      </c>
      <c r="F78" s="30">
        <f>70+47.2+5039+26.1</f>
        <v>5182.3</v>
      </c>
      <c r="G78" s="45">
        <v>3431.5</v>
      </c>
      <c r="H78" s="32">
        <v>3674.7</v>
      </c>
      <c r="I78" s="33">
        <f>146.2+23.5+1637.65+45.4</f>
        <v>1852.7500000000002</v>
      </c>
      <c r="J78" s="29">
        <v>3689.05</v>
      </c>
      <c r="K78" s="29">
        <v>661.18</v>
      </c>
      <c r="L78" s="33">
        <f>240.67+81.39</f>
        <v>322.06</v>
      </c>
      <c r="M78" s="32">
        <v>898.5</v>
      </c>
      <c r="N78" s="33">
        <f>1120.63</f>
        <v>1120.63</v>
      </c>
      <c r="O78" s="34">
        <v>735.58</v>
      </c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34" s="42" customFormat="1" ht="15" customHeight="1">
      <c r="A79" s="24"/>
      <c r="B79" s="35" t="s">
        <v>88</v>
      </c>
      <c r="C79" s="36">
        <f aca="true" t="shared" si="7" ref="C79:K79">SUM(C77:C78)</f>
        <v>5970</v>
      </c>
      <c r="D79" s="36">
        <f t="shared" si="7"/>
        <v>1081</v>
      </c>
      <c r="E79" s="36">
        <f t="shared" si="7"/>
        <v>4232</v>
      </c>
      <c r="F79" s="37">
        <f>SUM(F77:F78)</f>
        <v>5372.3</v>
      </c>
      <c r="G79" s="38">
        <f t="shared" si="7"/>
        <v>3623</v>
      </c>
      <c r="H79" s="38">
        <f t="shared" si="7"/>
        <v>3866.2</v>
      </c>
      <c r="I79" s="39">
        <f>SUM(I77:I78)</f>
        <v>2025.1000000000001</v>
      </c>
      <c r="J79" s="36">
        <f t="shared" si="7"/>
        <v>3890.55</v>
      </c>
      <c r="K79" s="36">
        <f t="shared" si="7"/>
        <v>862.68</v>
      </c>
      <c r="L79" s="39">
        <f>SUM(L77:L78)</f>
        <v>523.56</v>
      </c>
      <c r="M79" s="38">
        <v>1605.5</v>
      </c>
      <c r="N79" s="39">
        <f>SUM(N77:N78)</f>
        <v>1339.63</v>
      </c>
      <c r="O79" s="40">
        <f>SUM(O77:O78)</f>
        <v>1085.58</v>
      </c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</row>
    <row r="80" spans="1:34" ht="15" customHeight="1">
      <c r="A80" s="24"/>
      <c r="B80" s="25"/>
      <c r="C80" s="29"/>
      <c r="D80" s="29"/>
      <c r="E80" s="29"/>
      <c r="F80" s="43"/>
      <c r="G80" s="32"/>
      <c r="H80" s="32"/>
      <c r="I80" s="33"/>
      <c r="J80" s="29"/>
      <c r="K80" s="44"/>
      <c r="L80" s="33"/>
      <c r="M80" s="32"/>
      <c r="N80" s="33"/>
      <c r="O80" s="34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1:34" ht="15" customHeight="1">
      <c r="A81" s="24" t="s">
        <v>89</v>
      </c>
      <c r="B81" s="25" t="s">
        <v>139</v>
      </c>
      <c r="C81" s="29"/>
      <c r="D81" s="29"/>
      <c r="E81" s="29"/>
      <c r="F81" s="30"/>
      <c r="G81" s="32"/>
      <c r="H81" s="32"/>
      <c r="I81" s="33"/>
      <c r="J81" s="29"/>
      <c r="K81" s="29"/>
      <c r="L81" s="33"/>
      <c r="M81" s="32"/>
      <c r="N81" s="33"/>
      <c r="O81" s="34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34" ht="15" customHeight="1">
      <c r="A82" s="24"/>
      <c r="B82" s="28" t="s">
        <v>90</v>
      </c>
      <c r="C82" s="29">
        <v>66753</v>
      </c>
      <c r="D82" s="29">
        <v>13300</v>
      </c>
      <c r="E82" s="29">
        <v>13290</v>
      </c>
      <c r="F82" s="30">
        <v>12757.52</v>
      </c>
      <c r="G82" s="45">
        <v>0</v>
      </c>
      <c r="H82" s="32">
        <v>13640.3</v>
      </c>
      <c r="I82" s="33">
        <v>12383.41</v>
      </c>
      <c r="J82" s="29">
        <v>0</v>
      </c>
      <c r="K82" s="29">
        <v>13455.86</v>
      </c>
      <c r="L82" s="33">
        <v>13192.16</v>
      </c>
      <c r="M82" s="32">
        <v>0</v>
      </c>
      <c r="N82" s="33">
        <v>0</v>
      </c>
      <c r="O82" s="34">
        <v>19521</v>
      </c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spans="1:34" ht="15" customHeight="1">
      <c r="A83" s="24"/>
      <c r="B83" s="28" t="s">
        <v>91</v>
      </c>
      <c r="C83" s="29">
        <v>5360</v>
      </c>
      <c r="D83" s="29">
        <v>2073</v>
      </c>
      <c r="E83" s="29">
        <v>2073</v>
      </c>
      <c r="F83" s="30">
        <v>2032.08</v>
      </c>
      <c r="G83" s="45">
        <v>1875</v>
      </c>
      <c r="H83" s="32">
        <v>1759</v>
      </c>
      <c r="I83" s="33">
        <v>1619.48</v>
      </c>
      <c r="J83" s="29">
        <v>573.71</v>
      </c>
      <c r="K83" s="29">
        <v>573.71</v>
      </c>
      <c r="L83" s="33">
        <v>539.05</v>
      </c>
      <c r="M83" s="32">
        <v>3442</v>
      </c>
      <c r="N83" s="33">
        <v>565.02</v>
      </c>
      <c r="O83" s="34">
        <v>2500</v>
      </c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1:34" ht="15" customHeight="1">
      <c r="A84" s="24"/>
      <c r="B84" s="28" t="s">
        <v>92</v>
      </c>
      <c r="C84" s="29">
        <v>175</v>
      </c>
      <c r="D84" s="29">
        <v>35</v>
      </c>
      <c r="E84" s="29">
        <v>15</v>
      </c>
      <c r="F84" s="30">
        <v>7.41</v>
      </c>
      <c r="G84" s="45">
        <v>34.5</v>
      </c>
      <c r="H84" s="32">
        <v>32.72</v>
      </c>
      <c r="I84" s="33">
        <v>27.6</v>
      </c>
      <c r="J84" s="29">
        <v>33.5</v>
      </c>
      <c r="K84" s="29">
        <v>34.5</v>
      </c>
      <c r="L84" s="33">
        <v>16.47</v>
      </c>
      <c r="M84" s="32">
        <v>38</v>
      </c>
      <c r="N84" s="33">
        <v>20.5</v>
      </c>
      <c r="O84" s="34">
        <v>36.77</v>
      </c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34" ht="15" customHeight="1">
      <c r="A85" s="24"/>
      <c r="B85" s="28" t="s">
        <v>93</v>
      </c>
      <c r="C85" s="29">
        <v>3642</v>
      </c>
      <c r="D85" s="29">
        <v>842</v>
      </c>
      <c r="E85" s="29">
        <v>842</v>
      </c>
      <c r="F85" s="30">
        <v>0</v>
      </c>
      <c r="G85" s="45">
        <v>0</v>
      </c>
      <c r="H85" s="32">
        <v>0</v>
      </c>
      <c r="I85" s="33">
        <v>0</v>
      </c>
      <c r="J85" s="29">
        <v>0</v>
      </c>
      <c r="K85" s="29">
        <v>0</v>
      </c>
      <c r="L85" s="33">
        <v>0</v>
      </c>
      <c r="M85" s="32">
        <v>0</v>
      </c>
      <c r="N85" s="33">
        <v>0</v>
      </c>
      <c r="O85" s="34">
        <v>0</v>
      </c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spans="1:34" ht="15" customHeight="1">
      <c r="A86" s="24"/>
      <c r="B86" s="28" t="s">
        <v>140</v>
      </c>
      <c r="C86" s="29"/>
      <c r="D86" s="29"/>
      <c r="E86" s="29"/>
      <c r="F86" s="30"/>
      <c r="G86" s="45"/>
      <c r="H86" s="32"/>
      <c r="I86" s="33"/>
      <c r="J86" s="29"/>
      <c r="K86" s="29"/>
      <c r="L86" s="33"/>
      <c r="M86" s="32"/>
      <c r="N86" s="33"/>
      <c r="O86" s="34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spans="1:34" ht="15" customHeight="1">
      <c r="A87" s="24"/>
      <c r="B87" s="28" t="s">
        <v>94</v>
      </c>
      <c r="C87" s="29">
        <v>0</v>
      </c>
      <c r="D87" s="29">
        <v>0</v>
      </c>
      <c r="E87" s="29">
        <v>0</v>
      </c>
      <c r="F87" s="30">
        <v>0</v>
      </c>
      <c r="G87" s="45">
        <v>13795.31</v>
      </c>
      <c r="H87" s="32">
        <v>0</v>
      </c>
      <c r="I87" s="33">
        <v>0</v>
      </c>
      <c r="J87" s="29">
        <v>0</v>
      </c>
      <c r="K87" s="29">
        <v>0</v>
      </c>
      <c r="L87" s="33">
        <v>0</v>
      </c>
      <c r="M87" s="32">
        <v>0</v>
      </c>
      <c r="N87" s="33">
        <v>0</v>
      </c>
      <c r="O87" s="34">
        <v>0</v>
      </c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spans="1:34" ht="15" customHeight="1">
      <c r="A88" s="24"/>
      <c r="B88" s="55" t="s">
        <v>95</v>
      </c>
      <c r="C88" s="29">
        <v>36</v>
      </c>
      <c r="D88" s="29">
        <v>7</v>
      </c>
      <c r="E88" s="29">
        <v>7</v>
      </c>
      <c r="F88" s="30">
        <v>0</v>
      </c>
      <c r="G88" s="45">
        <v>7</v>
      </c>
      <c r="H88" s="32">
        <v>7</v>
      </c>
      <c r="I88" s="33">
        <v>0</v>
      </c>
      <c r="J88" s="29">
        <v>25</v>
      </c>
      <c r="K88" s="29">
        <v>25</v>
      </c>
      <c r="L88" s="33">
        <v>24.61</v>
      </c>
      <c r="M88" s="32">
        <v>7</v>
      </c>
      <c r="N88" s="33">
        <v>10</v>
      </c>
      <c r="O88" s="34">
        <v>10</v>
      </c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1:34" ht="15" customHeight="1">
      <c r="A89" s="24"/>
      <c r="B89" s="28" t="s">
        <v>96</v>
      </c>
      <c r="C89" s="29">
        <v>0</v>
      </c>
      <c r="D89" s="29">
        <v>0</v>
      </c>
      <c r="E89" s="29">
        <v>0</v>
      </c>
      <c r="F89" s="30">
        <v>5.98</v>
      </c>
      <c r="G89" s="45">
        <v>209.75</v>
      </c>
      <c r="H89" s="32">
        <v>0</v>
      </c>
      <c r="I89" s="33">
        <v>0</v>
      </c>
      <c r="J89" s="29">
        <v>13548.13</v>
      </c>
      <c r="K89" s="29">
        <v>0</v>
      </c>
      <c r="L89" s="33">
        <v>0</v>
      </c>
      <c r="M89" s="32">
        <v>14266.09</v>
      </c>
      <c r="N89" s="33">
        <f>1000.1+18787.09</f>
        <v>19787.19</v>
      </c>
      <c r="O89" s="34">
        <v>0</v>
      </c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</row>
    <row r="90" spans="1:34" s="42" customFormat="1" ht="15" customHeight="1">
      <c r="A90" s="24"/>
      <c r="B90" s="25" t="s">
        <v>97</v>
      </c>
      <c r="C90" s="36">
        <f aca="true" t="shared" si="8" ref="C90:M90">SUM(C82:C89)</f>
        <v>75966</v>
      </c>
      <c r="D90" s="36">
        <f t="shared" si="8"/>
        <v>16257</v>
      </c>
      <c r="E90" s="36">
        <f t="shared" si="8"/>
        <v>16227</v>
      </c>
      <c r="F90" s="37">
        <f>SUM(F82:F89)</f>
        <v>14802.99</v>
      </c>
      <c r="G90" s="38">
        <f t="shared" si="8"/>
        <v>15921.56</v>
      </c>
      <c r="H90" s="38">
        <f t="shared" si="8"/>
        <v>15439.019999999999</v>
      </c>
      <c r="I90" s="39">
        <f>SUM(I82:I89)</f>
        <v>14030.49</v>
      </c>
      <c r="J90" s="36">
        <f t="shared" si="8"/>
        <v>14180.34</v>
      </c>
      <c r="K90" s="36">
        <f t="shared" si="8"/>
        <v>14089.07</v>
      </c>
      <c r="L90" s="39">
        <f>SUM(L82:L89)</f>
        <v>13772.289999999999</v>
      </c>
      <c r="M90" s="38">
        <f t="shared" si="8"/>
        <v>17753.09</v>
      </c>
      <c r="N90" s="39">
        <f>SUM(N82:N89)</f>
        <v>20382.71</v>
      </c>
      <c r="O90" s="50">
        <f>SUM(O82:O89)</f>
        <v>22067.77</v>
      </c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</row>
    <row r="91" spans="1:34" ht="15" customHeight="1">
      <c r="A91" s="24"/>
      <c r="B91" s="35"/>
      <c r="C91" s="29"/>
      <c r="D91" s="29"/>
      <c r="E91" s="29"/>
      <c r="F91" s="43"/>
      <c r="G91" s="32"/>
      <c r="H91" s="32"/>
      <c r="I91" s="33"/>
      <c r="J91" s="29"/>
      <c r="K91" s="44"/>
      <c r="L91" s="33"/>
      <c r="M91" s="32"/>
      <c r="N91" s="33"/>
      <c r="O91" s="34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spans="1:34" ht="15" customHeight="1">
      <c r="A92" s="24" t="s">
        <v>98</v>
      </c>
      <c r="B92" s="25" t="s">
        <v>141</v>
      </c>
      <c r="C92" s="29"/>
      <c r="D92" s="29"/>
      <c r="E92" s="29"/>
      <c r="F92" s="30"/>
      <c r="G92" s="32"/>
      <c r="H92" s="32"/>
      <c r="I92" s="33"/>
      <c r="J92" s="29"/>
      <c r="K92" s="29"/>
      <c r="L92" s="33"/>
      <c r="M92" s="32"/>
      <c r="N92" s="33"/>
      <c r="O92" s="34"/>
      <c r="P92" s="6"/>
      <c r="Q92" s="6"/>
      <c r="R92" s="6" t="s">
        <v>76</v>
      </c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</row>
    <row r="93" spans="1:34" ht="15" customHeight="1">
      <c r="A93" s="24"/>
      <c r="B93" s="28" t="s">
        <v>99</v>
      </c>
      <c r="C93" s="29">
        <v>319463</v>
      </c>
      <c r="D93" s="29">
        <v>59574</v>
      </c>
      <c r="E93" s="29">
        <v>52094</v>
      </c>
      <c r="F93" s="30">
        <v>54353.2</v>
      </c>
      <c r="G93" s="45">
        <v>67916.78</v>
      </c>
      <c r="H93" s="32">
        <f>44141.45+23763.24+3195.24</f>
        <v>71099.93000000001</v>
      </c>
      <c r="I93" s="33">
        <v>34529.3</v>
      </c>
      <c r="J93" s="29">
        <v>73904.91</v>
      </c>
      <c r="K93" s="29">
        <v>70231.29</v>
      </c>
      <c r="L93" s="33">
        <v>71420.4</v>
      </c>
      <c r="M93" s="32">
        <f>62477.64+36300.26+3903</f>
        <v>102680.9</v>
      </c>
      <c r="N93" s="33">
        <f>81270.24+26539.89+3777.31</f>
        <v>111587.44</v>
      </c>
      <c r="O93" s="34">
        <f>53964.17+5997.37+22283.04+3156.1+9636.92+14929.08+2969.61</f>
        <v>112936.29000000001</v>
      </c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spans="1:34" ht="15" customHeight="1">
      <c r="A94" s="24"/>
      <c r="B94" s="28" t="s">
        <v>100</v>
      </c>
      <c r="C94" s="29">
        <v>12860</v>
      </c>
      <c r="D94" s="29">
        <v>2534</v>
      </c>
      <c r="E94" s="29">
        <v>2638</v>
      </c>
      <c r="F94" s="30">
        <v>1964.62</v>
      </c>
      <c r="G94" s="45">
        <v>3693.25</v>
      </c>
      <c r="H94" s="32">
        <v>3242.6</v>
      </c>
      <c r="I94" s="33">
        <v>2122.95</v>
      </c>
      <c r="J94" s="29">
        <v>3105.57</v>
      </c>
      <c r="K94" s="29">
        <v>3295.56</v>
      </c>
      <c r="L94" s="33">
        <v>2593.66</v>
      </c>
      <c r="M94" s="32">
        <v>5470</v>
      </c>
      <c r="N94" s="33">
        <v>4742.5</v>
      </c>
      <c r="O94" s="34">
        <v>5092.03</v>
      </c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</row>
    <row r="95" spans="1:34" ht="15" customHeight="1">
      <c r="A95" s="24"/>
      <c r="B95" s="28" t="s">
        <v>101</v>
      </c>
      <c r="C95" s="29">
        <v>2750</v>
      </c>
      <c r="D95" s="29">
        <v>500</v>
      </c>
      <c r="E95" s="29">
        <v>365</v>
      </c>
      <c r="F95" s="30">
        <v>369.9</v>
      </c>
      <c r="G95" s="45">
        <v>1021.79</v>
      </c>
      <c r="H95" s="32">
        <v>676.22</v>
      </c>
      <c r="I95" s="33">
        <v>536.72</v>
      </c>
      <c r="J95" s="29">
        <v>496.31</v>
      </c>
      <c r="K95" s="29">
        <v>496.17</v>
      </c>
      <c r="L95" s="33">
        <v>721.49</v>
      </c>
      <c r="M95" s="32">
        <v>692</v>
      </c>
      <c r="N95" s="33">
        <v>766.38</v>
      </c>
      <c r="O95" s="34">
        <v>610.99</v>
      </c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</row>
    <row r="96" spans="1:34" ht="15" customHeight="1">
      <c r="A96" s="24"/>
      <c r="B96" s="28" t="s">
        <v>102</v>
      </c>
      <c r="C96" s="29">
        <v>4339</v>
      </c>
      <c r="D96" s="29">
        <v>901</v>
      </c>
      <c r="E96" s="29">
        <v>940</v>
      </c>
      <c r="F96" s="30">
        <v>717.47</v>
      </c>
      <c r="G96" s="45">
        <v>1809.58</v>
      </c>
      <c r="H96" s="32">
        <v>1676.77</v>
      </c>
      <c r="I96" s="33">
        <v>1663.44</v>
      </c>
      <c r="J96" s="29">
        <v>661.87</v>
      </c>
      <c r="K96" s="29">
        <v>663.73</v>
      </c>
      <c r="L96" s="33">
        <v>516.13</v>
      </c>
      <c r="M96" s="32">
        <v>684</v>
      </c>
      <c r="N96" s="33">
        <v>877.92</v>
      </c>
      <c r="O96" s="34">
        <v>1384.85</v>
      </c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spans="1:34" s="42" customFormat="1" ht="15" customHeight="1">
      <c r="A97" s="24"/>
      <c r="B97" s="35" t="s">
        <v>103</v>
      </c>
      <c r="C97" s="36">
        <f aca="true" t="shared" si="9" ref="C97:H97">SUM(C93:C96)</f>
        <v>339412</v>
      </c>
      <c r="D97" s="36">
        <f t="shared" si="9"/>
        <v>63509</v>
      </c>
      <c r="E97" s="36">
        <f t="shared" si="9"/>
        <v>56037</v>
      </c>
      <c r="F97" s="37">
        <f>SUM(F93+F94+F95+F96)</f>
        <v>57405.19</v>
      </c>
      <c r="G97" s="38">
        <f t="shared" si="9"/>
        <v>74441.4</v>
      </c>
      <c r="H97" s="38">
        <f t="shared" si="9"/>
        <v>76695.52000000002</v>
      </c>
      <c r="I97" s="39">
        <f>SUM(I93:I96)</f>
        <v>38852.41</v>
      </c>
      <c r="J97" s="36">
        <f>J93+J94+J95+J96</f>
        <v>78168.66</v>
      </c>
      <c r="K97" s="36">
        <f>K93+K94+K95+K96</f>
        <v>74686.74999999999</v>
      </c>
      <c r="L97" s="39">
        <f>SUM(L93:L96)</f>
        <v>75251.68000000001</v>
      </c>
      <c r="M97" s="38">
        <f>SUM(M93:M96)</f>
        <v>109526.9</v>
      </c>
      <c r="N97" s="39">
        <f>SUM(N93:N96)</f>
        <v>117974.24</v>
      </c>
      <c r="O97" s="40">
        <f>SUM(O93:O96)</f>
        <v>120024.16000000002</v>
      </c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</row>
    <row r="98" spans="1:34" ht="15" customHeight="1">
      <c r="A98" s="24"/>
      <c r="B98" s="28" t="s">
        <v>104</v>
      </c>
      <c r="C98" s="29">
        <v>71533</v>
      </c>
      <c r="D98" s="29">
        <v>14016</v>
      </c>
      <c r="E98" s="29">
        <v>14370</v>
      </c>
      <c r="F98" s="30">
        <v>14520.93</v>
      </c>
      <c r="G98" s="45">
        <v>18105.11</v>
      </c>
      <c r="H98" s="32">
        <f>10561.9+2091.86+240.51+193.87</f>
        <v>13088.140000000001</v>
      </c>
      <c r="I98" s="33">
        <v>15444.43</v>
      </c>
      <c r="J98" s="29">
        <v>20298.09</v>
      </c>
      <c r="K98" s="29">
        <v>20292.44</v>
      </c>
      <c r="L98" s="33">
        <v>17763.95</v>
      </c>
      <c r="M98" s="32">
        <f>17902+1954+435+211+85</f>
        <v>20587</v>
      </c>
      <c r="N98" s="33">
        <f>14978.84+1821.73+597.08+129.04+77.6</f>
        <v>17604.29</v>
      </c>
      <c r="O98" s="34">
        <f>15353.75+1000+549.11+59.05+0</f>
        <v>16961.91</v>
      </c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spans="1:34" ht="15" customHeight="1">
      <c r="A99" s="24"/>
      <c r="B99" s="28" t="s">
        <v>105</v>
      </c>
      <c r="C99" s="29">
        <v>89425</v>
      </c>
      <c r="D99" s="29">
        <v>17885</v>
      </c>
      <c r="E99" s="29">
        <v>17677</v>
      </c>
      <c r="F99" s="30">
        <v>15214.62</v>
      </c>
      <c r="G99" s="45">
        <v>16802.68</v>
      </c>
      <c r="H99" s="32">
        <v>15920.24</v>
      </c>
      <c r="I99" s="33">
        <v>14807.52</v>
      </c>
      <c r="J99" s="29">
        <v>16890.41</v>
      </c>
      <c r="K99" s="29">
        <v>16851.21</v>
      </c>
      <c r="L99" s="33">
        <v>12861.44</v>
      </c>
      <c r="M99" s="32">
        <v>21492</v>
      </c>
      <c r="N99" s="33">
        <v>32580.49</v>
      </c>
      <c r="O99" s="34">
        <v>18894</v>
      </c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spans="1:34" ht="15" customHeight="1">
      <c r="A100" s="24"/>
      <c r="B100" s="28" t="s">
        <v>106</v>
      </c>
      <c r="C100" s="29">
        <v>88480</v>
      </c>
      <c r="D100" s="29">
        <v>17228</v>
      </c>
      <c r="E100" s="29">
        <v>13423</v>
      </c>
      <c r="F100" s="30">
        <v>8949.2</v>
      </c>
      <c r="G100" s="45">
        <v>13925.42</v>
      </c>
      <c r="H100" s="32">
        <v>1685.3</v>
      </c>
      <c r="I100" s="33">
        <v>8284.37</v>
      </c>
      <c r="J100" s="29">
        <v>996.01</v>
      </c>
      <c r="K100" s="29">
        <v>11281.87</v>
      </c>
      <c r="L100" s="33">
        <v>11430.39</v>
      </c>
      <c r="M100" s="32">
        <v>11191</v>
      </c>
      <c r="N100" s="33">
        <v>901</v>
      </c>
      <c r="O100" s="34">
        <v>548.79</v>
      </c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spans="1:34" ht="15" customHeight="1">
      <c r="A101" s="24"/>
      <c r="B101" s="28" t="s">
        <v>107</v>
      </c>
      <c r="C101" s="32">
        <v>0</v>
      </c>
      <c r="D101" s="32">
        <v>0</v>
      </c>
      <c r="E101" s="32">
        <v>0</v>
      </c>
      <c r="F101" s="30">
        <v>3202.02</v>
      </c>
      <c r="G101" s="32">
        <v>0</v>
      </c>
      <c r="H101" s="32">
        <v>1047.97</v>
      </c>
      <c r="I101" s="33">
        <v>2719.76</v>
      </c>
      <c r="J101" s="29">
        <v>4837.63</v>
      </c>
      <c r="K101" s="29">
        <v>5012.03</v>
      </c>
      <c r="L101" s="33">
        <v>4215.28</v>
      </c>
      <c r="M101" s="32">
        <v>2999</v>
      </c>
      <c r="N101" s="33">
        <v>0</v>
      </c>
      <c r="O101" s="34">
        <v>2769.13</v>
      </c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</row>
    <row r="102" spans="1:34" ht="15" customHeight="1">
      <c r="A102" s="24"/>
      <c r="B102" s="28" t="s">
        <v>108</v>
      </c>
      <c r="C102" s="29">
        <v>42694</v>
      </c>
      <c r="D102" s="29">
        <v>17250</v>
      </c>
      <c r="E102" s="29">
        <v>19053</v>
      </c>
      <c r="F102" s="30">
        <v>19407.66</v>
      </c>
      <c r="G102" s="45">
        <v>16545.6</v>
      </c>
      <c r="H102" s="32">
        <v>20852.85</v>
      </c>
      <c r="I102" s="33">
        <v>20242.26</v>
      </c>
      <c r="J102" s="29">
        <v>14280.36</v>
      </c>
      <c r="K102" s="29">
        <v>19337.45</v>
      </c>
      <c r="L102" s="33">
        <v>16495.62</v>
      </c>
      <c r="M102" s="32">
        <v>7552</v>
      </c>
      <c r="N102" s="33">
        <v>20953.68</v>
      </c>
      <c r="O102" s="34">
        <v>59847.63</v>
      </c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</row>
    <row r="103" spans="1:34" ht="15" customHeight="1">
      <c r="A103" s="24"/>
      <c r="B103" s="56" t="s">
        <v>109</v>
      </c>
      <c r="C103" s="29"/>
      <c r="D103" s="29"/>
      <c r="E103" s="29"/>
      <c r="F103" s="30"/>
      <c r="G103" s="32"/>
      <c r="H103" s="32"/>
      <c r="I103" s="33"/>
      <c r="J103" s="29"/>
      <c r="K103" s="29"/>
      <c r="L103" s="33"/>
      <c r="M103" s="32"/>
      <c r="N103" s="33"/>
      <c r="O103" s="34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</row>
    <row r="104" spans="1:34" ht="15" customHeight="1">
      <c r="A104" s="24"/>
      <c r="B104" s="28" t="s">
        <v>110</v>
      </c>
      <c r="C104" s="29">
        <v>299</v>
      </c>
      <c r="D104" s="29">
        <v>121</v>
      </c>
      <c r="E104" s="29">
        <v>107</v>
      </c>
      <c r="F104" s="30">
        <v>58.08</v>
      </c>
      <c r="G104" s="45">
        <v>117.2</v>
      </c>
      <c r="H104" s="32">
        <v>117.2</v>
      </c>
      <c r="I104" s="33">
        <v>63.48</v>
      </c>
      <c r="J104" s="29">
        <v>34.34</v>
      </c>
      <c r="K104" s="29">
        <v>34.34</v>
      </c>
      <c r="L104" s="33">
        <v>26.84</v>
      </c>
      <c r="M104" s="32">
        <v>38</v>
      </c>
      <c r="N104" s="33">
        <v>38</v>
      </c>
      <c r="O104" s="34">
        <v>41.71</v>
      </c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  <row r="105" spans="1:34" ht="15" customHeight="1">
      <c r="A105" s="24"/>
      <c r="B105" s="28" t="s">
        <v>111</v>
      </c>
      <c r="C105" s="29">
        <v>72978</v>
      </c>
      <c r="D105" s="29">
        <v>18802</v>
      </c>
      <c r="E105" s="29">
        <v>18625</v>
      </c>
      <c r="F105" s="30">
        <v>16701.4</v>
      </c>
      <c r="G105" s="45">
        <v>22207.24</v>
      </c>
      <c r="H105" s="32">
        <v>22403.88</v>
      </c>
      <c r="I105" s="33">
        <v>20975.58</v>
      </c>
      <c r="J105" s="29">
        <v>28917.3</v>
      </c>
      <c r="K105" s="29">
        <v>23674.39</v>
      </c>
      <c r="L105" s="33">
        <v>17625.76</v>
      </c>
      <c r="M105" s="32">
        <v>23964.84</v>
      </c>
      <c r="N105" s="33">
        <f>28181.27+4500</f>
        <v>32681.27</v>
      </c>
      <c r="O105" s="34">
        <f>17803.23+9016.26</f>
        <v>26819.489999999998</v>
      </c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</row>
    <row r="106" spans="1:34" ht="15" customHeight="1">
      <c r="A106" s="24"/>
      <c r="B106" s="28" t="s">
        <v>112</v>
      </c>
      <c r="C106" s="29">
        <f>770+4931</f>
        <v>5701</v>
      </c>
      <c r="D106" s="29">
        <f>140+921</f>
        <v>1061</v>
      </c>
      <c r="E106" s="29">
        <f>140+833</f>
        <v>973</v>
      </c>
      <c r="F106" s="30">
        <v>800.57</v>
      </c>
      <c r="G106" s="45">
        <v>1343.4</v>
      </c>
      <c r="H106" s="32">
        <f>37.5+11.08+1150.7</f>
        <v>1199.28</v>
      </c>
      <c r="I106" s="33">
        <v>1032.23</v>
      </c>
      <c r="J106" s="29">
        <v>1565.5</v>
      </c>
      <c r="K106" s="29">
        <v>1704.34</v>
      </c>
      <c r="L106" s="33">
        <v>1337.53</v>
      </c>
      <c r="M106" s="32">
        <f>119+12+1710</f>
        <v>1841</v>
      </c>
      <c r="N106" s="33">
        <f>173+0.5+1622.74</f>
        <v>1796.24</v>
      </c>
      <c r="O106" s="34">
        <f>123.77+58.46+1977.5</f>
        <v>2159.73</v>
      </c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</row>
    <row r="107" spans="1:34" ht="15" customHeight="1">
      <c r="A107" s="24"/>
      <c r="B107" s="28" t="s">
        <v>113</v>
      </c>
      <c r="C107" s="29">
        <v>8385</v>
      </c>
      <c r="D107" s="29">
        <f>1154+408</f>
        <v>1562</v>
      </c>
      <c r="E107" s="29">
        <f>1154+395</f>
        <v>1549</v>
      </c>
      <c r="F107" s="30">
        <v>910.51</v>
      </c>
      <c r="G107" s="45">
        <v>1409.1</v>
      </c>
      <c r="H107" s="32">
        <f>1278.57+383.83</f>
        <v>1662.3999999999999</v>
      </c>
      <c r="I107" s="33">
        <v>995.87</v>
      </c>
      <c r="J107" s="29">
        <v>1981.36</v>
      </c>
      <c r="K107" s="29">
        <v>2065.15</v>
      </c>
      <c r="L107" s="33">
        <v>1619.89</v>
      </c>
      <c r="M107" s="32">
        <f>1707.18+462</f>
        <v>2169.1800000000003</v>
      </c>
      <c r="N107" s="33">
        <v>461.96</v>
      </c>
      <c r="O107" s="34">
        <f>539.67+1811.94</f>
        <v>2351.61</v>
      </c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</row>
    <row r="108" spans="1:34" ht="15" customHeight="1">
      <c r="A108" s="24"/>
      <c r="B108" s="28" t="s">
        <v>114</v>
      </c>
      <c r="C108" s="29">
        <v>32852</v>
      </c>
      <c r="D108" s="29">
        <v>5973</v>
      </c>
      <c r="E108" s="29">
        <v>8145</v>
      </c>
      <c r="F108" s="30">
        <v>8678.61</v>
      </c>
      <c r="G108" s="45">
        <v>8342.49</v>
      </c>
      <c r="H108" s="32">
        <v>11096.48</v>
      </c>
      <c r="I108" s="33">
        <v>8503.97</v>
      </c>
      <c r="J108" s="29">
        <v>9123.38</v>
      </c>
      <c r="K108" s="29">
        <v>9060.51</v>
      </c>
      <c r="L108" s="33">
        <v>8539.93</v>
      </c>
      <c r="M108" s="32">
        <v>10003</v>
      </c>
      <c r="N108" s="33">
        <v>11101</v>
      </c>
      <c r="O108" s="34">
        <v>15000</v>
      </c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</row>
    <row r="109" spans="1:34" ht="15" customHeight="1">
      <c r="A109" s="24"/>
      <c r="B109" s="28" t="s">
        <v>115</v>
      </c>
      <c r="C109" s="29">
        <v>11738</v>
      </c>
      <c r="D109" s="29">
        <v>3350</v>
      </c>
      <c r="E109" s="29">
        <v>3172</v>
      </c>
      <c r="F109" s="30">
        <v>2104.3</v>
      </c>
      <c r="G109" s="45">
        <v>5307</v>
      </c>
      <c r="H109" s="32">
        <v>2885.05</v>
      </c>
      <c r="I109" s="33">
        <v>2245.17</v>
      </c>
      <c r="J109" s="29">
        <v>4555.84</v>
      </c>
      <c r="K109" s="29">
        <v>4272.44</v>
      </c>
      <c r="L109" s="33">
        <v>4326.53</v>
      </c>
      <c r="M109" s="32">
        <v>3002</v>
      </c>
      <c r="N109" s="33">
        <f>1690.12+2244.61</f>
        <v>3934.73</v>
      </c>
      <c r="O109" s="34">
        <f>60+757.88+1960.27</f>
        <v>2778.15</v>
      </c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</row>
    <row r="110" spans="1:34" s="42" customFormat="1" ht="15" customHeight="1">
      <c r="A110" s="24"/>
      <c r="B110" s="35" t="s">
        <v>116</v>
      </c>
      <c r="C110" s="36">
        <f aca="true" t="shared" si="10" ref="C110:H110">SUM(C97:C109)</f>
        <v>763497</v>
      </c>
      <c r="D110" s="36">
        <f t="shared" si="10"/>
        <v>160757</v>
      </c>
      <c r="E110" s="36">
        <f t="shared" si="10"/>
        <v>153131</v>
      </c>
      <c r="F110" s="37">
        <f>SUM(F97:F109)</f>
        <v>147953.09000000003</v>
      </c>
      <c r="G110" s="38">
        <f t="shared" si="10"/>
        <v>178546.63999999998</v>
      </c>
      <c r="H110" s="38">
        <f t="shared" si="10"/>
        <v>168654.31</v>
      </c>
      <c r="I110" s="39">
        <f aca="true" t="shared" si="11" ref="I110:O110">SUM(I97:I109)</f>
        <v>134167.05</v>
      </c>
      <c r="J110" s="36">
        <f t="shared" si="11"/>
        <v>181648.87999999998</v>
      </c>
      <c r="K110" s="36">
        <f t="shared" si="11"/>
        <v>188272.91999999998</v>
      </c>
      <c r="L110" s="39">
        <f t="shared" si="11"/>
        <v>171494.84000000003</v>
      </c>
      <c r="M110" s="38">
        <f t="shared" si="11"/>
        <v>214365.91999999998</v>
      </c>
      <c r="N110" s="57">
        <f t="shared" si="11"/>
        <v>240026.89999999997</v>
      </c>
      <c r="O110" s="58">
        <f t="shared" si="11"/>
        <v>268196.31000000006</v>
      </c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</row>
    <row r="111" spans="1:34" ht="15" customHeight="1">
      <c r="A111" s="24"/>
      <c r="B111" s="25"/>
      <c r="C111" s="29"/>
      <c r="D111" s="29"/>
      <c r="E111" s="29"/>
      <c r="F111" s="43"/>
      <c r="G111" s="32"/>
      <c r="H111" s="32"/>
      <c r="I111" s="33"/>
      <c r="J111" s="29"/>
      <c r="K111" s="44"/>
      <c r="L111" s="33"/>
      <c r="M111" s="32"/>
      <c r="N111" s="33"/>
      <c r="O111" s="34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</row>
    <row r="112" spans="1:34" ht="15" customHeight="1">
      <c r="A112" s="24" t="s">
        <v>117</v>
      </c>
      <c r="B112" s="25" t="s">
        <v>142</v>
      </c>
      <c r="C112" s="29"/>
      <c r="D112" s="29"/>
      <c r="E112" s="29"/>
      <c r="F112" s="30"/>
      <c r="G112" s="32"/>
      <c r="H112" s="32"/>
      <c r="I112" s="33"/>
      <c r="J112" s="29"/>
      <c r="K112" s="29"/>
      <c r="L112" s="33"/>
      <c r="M112" s="32"/>
      <c r="N112" s="33"/>
      <c r="O112" s="34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</row>
    <row r="113" spans="1:34" ht="15" customHeight="1">
      <c r="A113" s="24"/>
      <c r="B113" s="28" t="s">
        <v>118</v>
      </c>
      <c r="C113" s="29">
        <v>1225</v>
      </c>
      <c r="D113" s="29">
        <v>346</v>
      </c>
      <c r="E113" s="29">
        <v>566</v>
      </c>
      <c r="F113" s="30">
        <v>202.32</v>
      </c>
      <c r="G113" s="45">
        <v>776</v>
      </c>
      <c r="H113" s="32">
        <v>289.66</v>
      </c>
      <c r="I113" s="33">
        <v>26.25</v>
      </c>
      <c r="J113" s="29">
        <v>383.36</v>
      </c>
      <c r="K113" s="29">
        <v>383.36</v>
      </c>
      <c r="L113" s="33">
        <v>2529.83</v>
      </c>
      <c r="M113" s="32">
        <v>1685</v>
      </c>
      <c r="N113" s="33">
        <v>3788.1</v>
      </c>
      <c r="O113" s="34">
        <v>900</v>
      </c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</row>
    <row r="114" spans="1:34" ht="15" customHeight="1">
      <c r="A114" s="24"/>
      <c r="B114" s="28" t="s">
        <v>119</v>
      </c>
      <c r="C114" s="29">
        <v>98</v>
      </c>
      <c r="D114" s="29">
        <v>98</v>
      </c>
      <c r="E114" s="29">
        <v>99</v>
      </c>
      <c r="F114" s="30">
        <v>91.59</v>
      </c>
      <c r="G114" s="45">
        <v>0</v>
      </c>
      <c r="H114" s="32">
        <v>0</v>
      </c>
      <c r="I114" s="33">
        <v>0</v>
      </c>
      <c r="J114" s="29"/>
      <c r="K114" s="29"/>
      <c r="L114" s="33">
        <v>0</v>
      </c>
      <c r="M114" s="32">
        <v>0</v>
      </c>
      <c r="N114" s="33">
        <v>0</v>
      </c>
      <c r="O114" s="34">
        <v>0</v>
      </c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</row>
    <row r="115" spans="1:34" ht="15" customHeight="1">
      <c r="A115" s="24"/>
      <c r="B115" s="28" t="s">
        <v>120</v>
      </c>
      <c r="C115" s="29">
        <v>1330</v>
      </c>
      <c r="D115" s="29">
        <v>266</v>
      </c>
      <c r="E115" s="29">
        <v>489</v>
      </c>
      <c r="F115" s="30">
        <v>335.75</v>
      </c>
      <c r="G115" s="45">
        <v>720.92</v>
      </c>
      <c r="H115" s="32">
        <v>552.08</v>
      </c>
      <c r="I115" s="33">
        <v>214.47</v>
      </c>
      <c r="J115" s="29">
        <v>1350.45</v>
      </c>
      <c r="K115" s="29">
        <v>1350.45</v>
      </c>
      <c r="L115" s="33">
        <v>407.81</v>
      </c>
      <c r="M115" s="32">
        <v>260</v>
      </c>
      <c r="N115" s="33">
        <v>1212.01</v>
      </c>
      <c r="O115" s="34">
        <v>1261.13</v>
      </c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</row>
    <row r="116" spans="1:34" ht="15" customHeight="1">
      <c r="A116" s="24"/>
      <c r="B116" s="28" t="s">
        <v>143</v>
      </c>
      <c r="C116" s="29"/>
      <c r="D116" s="29"/>
      <c r="E116" s="29"/>
      <c r="F116" s="30"/>
      <c r="G116" s="45"/>
      <c r="H116" s="32"/>
      <c r="I116" s="33"/>
      <c r="J116" s="29"/>
      <c r="K116" s="29"/>
      <c r="L116" s="33"/>
      <c r="M116" s="32"/>
      <c r="N116" s="33"/>
      <c r="O116" s="34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</row>
    <row r="117" spans="1:34" ht="15" customHeight="1">
      <c r="A117" s="24"/>
      <c r="B117" s="28" t="s">
        <v>121</v>
      </c>
      <c r="C117" s="29">
        <v>0</v>
      </c>
      <c r="D117" s="29">
        <v>0</v>
      </c>
      <c r="E117" s="29">
        <v>0</v>
      </c>
      <c r="F117" s="30">
        <v>0</v>
      </c>
      <c r="G117" s="45">
        <v>0</v>
      </c>
      <c r="H117" s="32">
        <v>0</v>
      </c>
      <c r="I117" s="33">
        <v>0</v>
      </c>
      <c r="J117" s="29">
        <v>0</v>
      </c>
      <c r="K117" s="29">
        <v>0</v>
      </c>
      <c r="L117" s="33">
        <v>0</v>
      </c>
      <c r="M117" s="32">
        <v>0</v>
      </c>
      <c r="N117" s="33">
        <v>0</v>
      </c>
      <c r="O117" s="34">
        <v>0</v>
      </c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spans="1:34" ht="15" customHeight="1">
      <c r="A118" s="24"/>
      <c r="B118" s="28" t="s">
        <v>122</v>
      </c>
      <c r="C118" s="29">
        <v>126887</v>
      </c>
      <c r="D118" s="29">
        <v>7601</v>
      </c>
      <c r="E118" s="29">
        <v>9329</v>
      </c>
      <c r="F118" s="30">
        <v>7600.67</v>
      </c>
      <c r="G118" s="45">
        <v>3304.18</v>
      </c>
      <c r="H118" s="32">
        <v>100</v>
      </c>
      <c r="I118" s="33">
        <v>0</v>
      </c>
      <c r="J118" s="29">
        <v>500</v>
      </c>
      <c r="K118" s="29">
        <v>465</v>
      </c>
      <c r="L118" s="33">
        <v>0</v>
      </c>
      <c r="M118" s="32">
        <v>8772.61</v>
      </c>
      <c r="N118" s="33">
        <v>200</v>
      </c>
      <c r="O118" s="34">
        <v>8400</v>
      </c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</row>
    <row r="119" spans="1:34" s="42" customFormat="1" ht="15" customHeight="1">
      <c r="A119" s="24"/>
      <c r="B119" s="35" t="s">
        <v>123</v>
      </c>
      <c r="C119" s="36">
        <f aca="true" t="shared" si="12" ref="C119:K119">SUM(C113:C118)</f>
        <v>129540</v>
      </c>
      <c r="D119" s="36">
        <f t="shared" si="12"/>
        <v>8311</v>
      </c>
      <c r="E119" s="36">
        <f t="shared" si="12"/>
        <v>10483</v>
      </c>
      <c r="F119" s="37">
        <f>SUM(F113:F118)</f>
        <v>8230.33</v>
      </c>
      <c r="G119" s="38">
        <f t="shared" si="12"/>
        <v>4801.1</v>
      </c>
      <c r="H119" s="38">
        <f t="shared" si="12"/>
        <v>941.74</v>
      </c>
      <c r="I119" s="39">
        <f>SUM(I113:I118)</f>
        <v>240.72</v>
      </c>
      <c r="J119" s="36">
        <f t="shared" si="12"/>
        <v>2233.81</v>
      </c>
      <c r="K119" s="36">
        <f t="shared" si="12"/>
        <v>2198.81</v>
      </c>
      <c r="L119" s="39">
        <f>SUM(L113:L118)</f>
        <v>2937.64</v>
      </c>
      <c r="M119" s="38">
        <f>SUM(M113:M118)</f>
        <v>10717.61</v>
      </c>
      <c r="N119" s="39">
        <f>SUM(N113:N118)</f>
        <v>5200.11</v>
      </c>
      <c r="O119" s="40">
        <f>SUM(O113:O118)</f>
        <v>10561.130000000001</v>
      </c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</row>
    <row r="120" spans="1:34" ht="15" customHeight="1" thickBot="1">
      <c r="A120" s="24"/>
      <c r="B120" s="35"/>
      <c r="C120" s="36"/>
      <c r="D120" s="36"/>
      <c r="E120" s="36"/>
      <c r="F120" s="37"/>
      <c r="G120" s="59"/>
      <c r="H120" s="59"/>
      <c r="I120" s="60"/>
      <c r="J120" s="61"/>
      <c r="K120" s="62"/>
      <c r="L120" s="60"/>
      <c r="M120" s="59"/>
      <c r="N120" s="49"/>
      <c r="O120" s="40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</row>
    <row r="121" spans="1:34" s="42" customFormat="1" ht="15" customHeight="1" thickBot="1">
      <c r="A121" s="63"/>
      <c r="B121" s="64" t="s">
        <v>124</v>
      </c>
      <c r="C121" s="65">
        <f aca="true" t="shared" si="13" ref="C121:H121">SUM(C25+C43+C45+C52+C57+C63+C72+C74+C79+C90+C110+C119)</f>
        <v>2618993</v>
      </c>
      <c r="D121" s="65">
        <f t="shared" si="13"/>
        <v>482100</v>
      </c>
      <c r="E121" s="65">
        <f t="shared" si="13"/>
        <v>559765</v>
      </c>
      <c r="F121" s="66">
        <f>+F25+F43+F45+F52+F57+F63+F72+F74+F79+F90+F110+F119</f>
        <v>532982.17</v>
      </c>
      <c r="G121" s="67">
        <f t="shared" si="13"/>
        <v>570299.8999999999</v>
      </c>
      <c r="H121" s="68">
        <f t="shared" si="13"/>
        <v>507603.52999999997</v>
      </c>
      <c r="I121" s="66">
        <f>+I25+I43+I45+I52+I57+I63+I72+I74+I79+I90+I110+I119</f>
        <v>508737.9499999999</v>
      </c>
      <c r="J121" s="68">
        <f>J25+J43+J45+J52+J57+J63+J72+J74+J79+J90+J110+J119</f>
        <v>670996.0000000001</v>
      </c>
      <c r="K121" s="68">
        <f>K25+K43+K45+K52+K57+K63+K72+K74+K79+K90+K110+K119</f>
        <v>643504.73</v>
      </c>
      <c r="L121" s="66">
        <f>SUM(L25+L43+L45+L52+L57+L63+L72+L74+L79+L90+L110+L119)</f>
        <v>661043</v>
      </c>
      <c r="M121" s="69">
        <f>M25+M43+M45+M52+M57+M63+M72+M74+M79+M90+M110+M119</f>
        <v>747100</v>
      </c>
      <c r="N121" s="70">
        <f>+N25+N43+N45+N52+N57+N63+N72+N74+N79+N90+N110+N119</f>
        <v>832499.9999999999</v>
      </c>
      <c r="O121" s="71">
        <f>O25+O43+O45+O52+O57+O63+O72+O74+O79+O90+O110+O119</f>
        <v>902000</v>
      </c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</row>
    <row r="122" spans="1:12" ht="15">
      <c r="A122" s="72"/>
      <c r="B122" s="73"/>
      <c r="C122" s="74"/>
      <c r="D122" s="74"/>
      <c r="E122" s="74"/>
      <c r="F122" s="74"/>
      <c r="G122" s="74"/>
      <c r="H122" s="74"/>
      <c r="I122" s="74"/>
      <c r="J122" s="74"/>
      <c r="K122" s="74"/>
      <c r="L122" s="74"/>
    </row>
    <row r="123" spans="1:12" ht="15">
      <c r="A123" s="72"/>
      <c r="B123" s="75" t="s">
        <v>125</v>
      </c>
      <c r="C123" s="74"/>
      <c r="D123" s="74"/>
      <c r="E123" s="74"/>
      <c r="F123" s="74"/>
      <c r="G123" s="74"/>
      <c r="H123" s="74"/>
      <c r="I123" s="74"/>
      <c r="J123" s="74"/>
      <c r="K123" s="74"/>
      <c r="L123" s="74"/>
    </row>
    <row r="124" spans="1:12" ht="15">
      <c r="A124" s="72"/>
      <c r="B124" s="73"/>
      <c r="C124" s="74"/>
      <c r="D124" s="74"/>
      <c r="E124" s="74"/>
      <c r="F124" s="74"/>
      <c r="G124" s="74"/>
      <c r="H124" s="74"/>
      <c r="I124" s="74" t="s">
        <v>76</v>
      </c>
      <c r="J124" s="74"/>
      <c r="K124" s="74"/>
      <c r="L124" s="74"/>
    </row>
    <row r="125" spans="1:12" ht="15">
      <c r="A125" s="72"/>
      <c r="B125" s="73"/>
      <c r="C125" s="74"/>
      <c r="D125" s="74"/>
      <c r="E125" s="74"/>
      <c r="F125" s="74"/>
      <c r="G125" s="74"/>
      <c r="H125" s="74"/>
      <c r="I125" s="74"/>
      <c r="J125" s="74"/>
      <c r="K125" s="74"/>
      <c r="L125" s="74"/>
    </row>
    <row r="126" spans="1:12" ht="15">
      <c r="A126" s="72"/>
      <c r="B126" s="73"/>
      <c r="C126" s="74"/>
      <c r="D126" s="74"/>
      <c r="E126" s="74"/>
      <c r="F126" s="74"/>
      <c r="G126" s="74"/>
      <c r="H126" s="74"/>
      <c r="I126" s="74"/>
      <c r="J126" s="74"/>
      <c r="K126" s="74"/>
      <c r="L126" s="74"/>
    </row>
    <row r="127" spans="1:12" ht="15">
      <c r="A127" s="72"/>
      <c r="B127" s="73"/>
      <c r="C127" s="74"/>
      <c r="D127" s="74"/>
      <c r="E127" s="74"/>
      <c r="F127" s="74"/>
      <c r="G127" s="74"/>
      <c r="H127" s="74"/>
      <c r="I127" s="74"/>
      <c r="J127" s="74"/>
      <c r="K127" s="74"/>
      <c r="L127" s="74"/>
    </row>
    <row r="128" spans="1:12" ht="15">
      <c r="A128" s="72"/>
      <c r="B128" s="73"/>
      <c r="C128" s="74"/>
      <c r="D128" s="74"/>
      <c r="E128" s="74"/>
      <c r="F128" s="74"/>
      <c r="G128" s="74"/>
      <c r="H128" s="74"/>
      <c r="I128" s="74"/>
      <c r="J128" s="74"/>
      <c r="K128" s="74"/>
      <c r="L128" s="74"/>
    </row>
    <row r="129" spans="1:12" ht="15">
      <c r="A129" s="72"/>
      <c r="B129" s="73"/>
      <c r="C129" s="74"/>
      <c r="D129" s="74"/>
      <c r="E129" s="74"/>
      <c r="F129" s="74"/>
      <c r="G129" s="74"/>
      <c r="H129" s="74"/>
      <c r="I129" s="74"/>
      <c r="J129" s="74"/>
      <c r="K129" s="74"/>
      <c r="L129" s="74"/>
    </row>
    <row r="130" spans="1:12" ht="15">
      <c r="A130" s="72"/>
      <c r="B130" s="73"/>
      <c r="C130" s="74"/>
      <c r="D130" s="74"/>
      <c r="E130" s="74"/>
      <c r="F130" s="74"/>
      <c r="G130" s="74"/>
      <c r="H130" s="74"/>
      <c r="I130" s="74"/>
      <c r="J130" s="74"/>
      <c r="K130" s="74"/>
      <c r="L130" s="74"/>
    </row>
    <row r="131" spans="1:12" ht="15">
      <c r="A131" s="72"/>
      <c r="B131" s="73"/>
      <c r="C131" s="74"/>
      <c r="D131" s="74"/>
      <c r="E131" s="74"/>
      <c r="F131" s="74"/>
      <c r="G131" s="74"/>
      <c r="H131" s="74"/>
      <c r="I131" s="74"/>
      <c r="J131" s="74"/>
      <c r="K131" s="74"/>
      <c r="L131" s="74"/>
    </row>
    <row r="132" spans="1:12" ht="15">
      <c r="A132" s="72"/>
      <c r="B132" s="73"/>
      <c r="C132" s="74"/>
      <c r="D132" s="74"/>
      <c r="E132" s="74"/>
      <c r="F132" s="74"/>
      <c r="G132" s="74"/>
      <c r="H132" s="74"/>
      <c r="I132" s="74"/>
      <c r="J132" s="74"/>
      <c r="K132" s="74"/>
      <c r="L132" s="74"/>
    </row>
    <row r="133" spans="1:12" ht="15">
      <c r="A133" s="72"/>
      <c r="B133" s="73"/>
      <c r="C133" s="74"/>
      <c r="D133" s="74"/>
      <c r="E133" s="74"/>
      <c r="F133" s="74"/>
      <c r="G133" s="74"/>
      <c r="H133" s="74"/>
      <c r="I133" s="74"/>
      <c r="J133" s="74"/>
      <c r="K133" s="74"/>
      <c r="L133" s="74"/>
    </row>
    <row r="134" spans="1:12" ht="15">
      <c r="A134" s="72"/>
      <c r="B134" s="73"/>
      <c r="C134" s="74"/>
      <c r="D134" s="74"/>
      <c r="E134" s="74"/>
      <c r="F134" s="74"/>
      <c r="G134" s="74"/>
      <c r="H134" s="74"/>
      <c r="I134" s="74"/>
      <c r="J134" s="74"/>
      <c r="K134" s="74"/>
      <c r="L134" s="74"/>
    </row>
    <row r="135" spans="1:12" ht="15">
      <c r="A135" s="72"/>
      <c r="B135" s="73"/>
      <c r="C135" s="74"/>
      <c r="D135" s="74"/>
      <c r="E135" s="74"/>
      <c r="F135" s="74"/>
      <c r="G135" s="74"/>
      <c r="H135" s="74"/>
      <c r="I135" s="74"/>
      <c r="J135" s="74"/>
      <c r="K135" s="74"/>
      <c r="L135" s="74"/>
    </row>
    <row r="136" spans="1:12" ht="15">
      <c r="A136" s="72"/>
      <c r="B136" s="73"/>
      <c r="C136" s="74"/>
      <c r="D136" s="74"/>
      <c r="E136" s="74"/>
      <c r="F136" s="74"/>
      <c r="G136" s="74"/>
      <c r="H136" s="74"/>
      <c r="I136" s="74"/>
      <c r="J136" s="74"/>
      <c r="K136" s="74"/>
      <c r="L136" s="74"/>
    </row>
  </sheetData>
  <mergeCells count="20">
    <mergeCell ref="M3:N3"/>
    <mergeCell ref="M4:M6"/>
    <mergeCell ref="N4:N6"/>
    <mergeCell ref="O3:O6"/>
    <mergeCell ref="J3:L3"/>
    <mergeCell ref="J4:J6"/>
    <mergeCell ref="K4:K6"/>
    <mergeCell ref="L4:L6"/>
    <mergeCell ref="G3:I3"/>
    <mergeCell ref="G4:G6"/>
    <mergeCell ref="H4:H6"/>
    <mergeCell ref="I4:I6"/>
    <mergeCell ref="D4:D6"/>
    <mergeCell ref="E4:E6"/>
    <mergeCell ref="F4:F6"/>
    <mergeCell ref="A1:B1"/>
    <mergeCell ref="B3:B6"/>
    <mergeCell ref="C3:C6"/>
    <mergeCell ref="A3:A6"/>
    <mergeCell ref="D3:F3"/>
  </mergeCells>
  <printOptions horizontalCentered="1"/>
  <pageMargins left="0.25" right="0.25" top="0.3" bottom="0.3" header="0" footer="0"/>
  <pageSetup horizontalDpi="300" verticalDpi="300" orientation="landscape" paperSize="9" scale="80" r:id="rId1"/>
  <rowBreaks count="2" manualBreakCount="2">
    <brk id="46" max="255" man="1"/>
    <brk id="85" max="14" man="1"/>
  </rowBreaks>
  <colBreaks count="1" manualBreakCount="1">
    <brk id="9" max="1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Commission</dc:creator>
  <cp:keywords/>
  <dc:description/>
  <cp:lastModifiedBy>Planning Commission</cp:lastModifiedBy>
  <cp:lastPrinted>2006-09-06T12:13:55Z</cp:lastPrinted>
  <dcterms:created xsi:type="dcterms:W3CDTF">2006-09-06T12:12:52Z</dcterms:created>
  <dcterms:modified xsi:type="dcterms:W3CDTF">2006-09-06T12:13:58Z</dcterms:modified>
  <cp:category/>
  <cp:version/>
  <cp:contentType/>
  <cp:contentStatus/>
</cp:coreProperties>
</file>