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2011-12 AO, RO" sheetId="1" r:id="rId1"/>
  </sheets>
  <definedNames>
    <definedName name="_xlnm.Print_Area" localSheetId="0">'2011-12 AO, RO'!$A$1:$BY$102</definedName>
    <definedName name="_xlnm.Print_Titles" localSheetId="0">'2011-12 AO, RO'!$A:$B,'2011-12 AO, RO'!$2:$4</definedName>
  </definedNames>
  <calcPr fullCalcOnLoad="1"/>
</workbook>
</file>

<file path=xl/sharedStrings.xml><?xml version="1.0" encoding="utf-8"?>
<sst xmlns="http://schemas.openxmlformats.org/spreadsheetml/2006/main" count="248" uniqueCount="142">
  <si>
    <t>(Rs. In Lakhs)</t>
  </si>
  <si>
    <t xml:space="preserve">STATE WISE/SECTOR WISE </t>
  </si>
  <si>
    <t>Sl. No.</t>
  </si>
  <si>
    <t>Major Heads of Development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</si>
  <si>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</si>
  <si>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</si>
  <si>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</si>
  <si>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</si>
  <si>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</si>
  <si>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</si>
  <si>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</si>
  <si>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</si>
  <si>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</si>
  <si>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</si>
  <si>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</si>
  <si>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</si>
  <si>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</si>
  <si>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</si>
  <si>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</si>
  <si>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</si>
  <si>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</si>
  <si>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</si>
  <si>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</si>
  <si>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</si>
  <si>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</si>
  <si>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</si>
  <si>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</si>
  <si>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</si>
  <si>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</si>
  <si>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</si>
  <si>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</si>
  <si>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 (STATES)</t>
  </si>
  <si>
    <t>ANDAMAN &amp; NICOBAR ISLANDS</t>
  </si>
  <si>
    <t>CHHANDIGARH</t>
  </si>
  <si>
    <t>DADRA &amp; NAGAR HAVELI</t>
  </si>
  <si>
    <t>DAMAN &amp; DIU</t>
  </si>
  <si>
    <t>DELHI</t>
  </si>
  <si>
    <t xml:space="preserve">LAKSHDWEEP </t>
  </si>
  <si>
    <t>PUDUCHERRY</t>
  </si>
  <si>
    <t>TOTAL Uts</t>
  </si>
  <si>
    <t>TOTAL (STATES &amp; Uts)</t>
  </si>
  <si>
    <t>APPROVED OUTLAY</t>
  </si>
  <si>
    <t xml:space="preserve">REVISED OUTLAY/ ANTICIPATED EXPENDITURE </t>
  </si>
  <si>
    <t>I</t>
  </si>
  <si>
    <t xml:space="preserve">  AGRICULTURE &amp; ALLIED ACTIVITIES</t>
  </si>
  <si>
    <t>1. Crop Husbandry</t>
  </si>
  <si>
    <t>2. Horticulture</t>
  </si>
  <si>
    <t xml:space="preserve">3. Soil and Water Conservation (including control of </t>
  </si>
  <si>
    <t>shifting cultivation)</t>
  </si>
  <si>
    <t>4. Animal Husbandry</t>
  </si>
  <si>
    <t>5. Dairy Development</t>
  </si>
  <si>
    <t>6. Fisheries</t>
  </si>
  <si>
    <t>7. Plantations</t>
  </si>
  <si>
    <t>8. Food,Storage &amp; Warehousing</t>
  </si>
  <si>
    <t>9. Agricultural Research &amp; Education</t>
  </si>
  <si>
    <t>10. Agricultural Financial Institutions</t>
  </si>
  <si>
    <t>11. Cooperation</t>
  </si>
  <si>
    <t>12. Other Agricultural Programmes :</t>
  </si>
  <si>
    <t xml:space="preserve">       (a) Agiculture marketing</t>
  </si>
  <si>
    <t xml:space="preserve">       (b) Others</t>
  </si>
  <si>
    <t xml:space="preserve">Total - (I) </t>
  </si>
  <si>
    <t>II</t>
  </si>
  <si>
    <t xml:space="preserve">   RURAL DEVELOPMENT</t>
  </si>
  <si>
    <t xml:space="preserve">1. Special Programme for Rural Development </t>
  </si>
  <si>
    <t>2. Rural Employment</t>
  </si>
  <si>
    <t>(a) Swaranjyanti Gram Swarozgar Yojana (SGSY)</t>
  </si>
  <si>
    <t>(b) Sampoorna Gram  Rozgar Yojana (SGRY)</t>
  </si>
  <si>
    <t>(c)  National Food for Work Programme/NEGP</t>
  </si>
  <si>
    <t>(d) Others (To be specified)</t>
  </si>
  <si>
    <t>Sub-Total (Rural Employment)</t>
  </si>
  <si>
    <t>3. Land Reforms</t>
  </si>
  <si>
    <t>4. Other Rural Development Programmes</t>
  </si>
  <si>
    <t>(a) Community Development &amp; Panchayts</t>
  </si>
  <si>
    <t>(b) Other Programmes of Rural Development</t>
  </si>
  <si>
    <t>Sub-Total (Other Rural Development)</t>
  </si>
  <si>
    <t>TOTAL - II</t>
  </si>
  <si>
    <t>III</t>
  </si>
  <si>
    <t xml:space="preserve"> SPECIAL AREAS PROGRAMMES</t>
  </si>
  <si>
    <t>IV</t>
  </si>
  <si>
    <t xml:space="preserve"> IRRIGATION &amp; FLOOD CONTROL</t>
  </si>
  <si>
    <t>1. Major and Medium Irrigation</t>
  </si>
  <si>
    <t>2. Minor Irrigation</t>
  </si>
  <si>
    <t>3. Command Area Development</t>
  </si>
  <si>
    <t>4. Flood Control (includes flood protection works)</t>
  </si>
  <si>
    <t xml:space="preserve">TOTAL - IV </t>
  </si>
  <si>
    <t>V</t>
  </si>
  <si>
    <t xml:space="preserve">  ENERGY</t>
  </si>
  <si>
    <t>VI</t>
  </si>
  <si>
    <t xml:space="preserve"> INDUSTRY &amp; MINERALS</t>
  </si>
  <si>
    <t xml:space="preserve">1. Village &amp; Small Enterprises    </t>
  </si>
  <si>
    <t>2. Other Industries (Other than VSE)</t>
  </si>
  <si>
    <t>3. Minerals</t>
  </si>
  <si>
    <t xml:space="preserve">TOTAL - (VI) </t>
  </si>
  <si>
    <t>VII</t>
  </si>
  <si>
    <t xml:space="preserve">  TRANSPORT</t>
  </si>
  <si>
    <t>1. Minor Ports</t>
  </si>
  <si>
    <t>2. Civil Aviation</t>
  </si>
  <si>
    <t xml:space="preserve">3. Roads and Bridges  </t>
  </si>
  <si>
    <t>4. Road Transport</t>
  </si>
  <si>
    <t>5. Inland Water Transport</t>
  </si>
  <si>
    <t>6. Other Transport Services</t>
  </si>
  <si>
    <t>TOTAL - (VII)</t>
  </si>
  <si>
    <t>VIII</t>
  </si>
  <si>
    <t>SCIENCE,TECHNOLOGY &amp; ENVIRONMENT</t>
  </si>
  <si>
    <t xml:space="preserve">1. Scientific Research </t>
  </si>
  <si>
    <t>2. Information Technology &amp; E-Governance</t>
  </si>
  <si>
    <t>3. Ecology &amp; Environment</t>
  </si>
  <si>
    <t>4. Forestry &amp; Wildlife</t>
  </si>
  <si>
    <t xml:space="preserve">TOTAL - (VIII) </t>
  </si>
  <si>
    <t>IX</t>
  </si>
  <si>
    <t xml:space="preserve">  GENERAL ECONOMIC SERVICES</t>
  </si>
  <si>
    <t>1. Secretariat Economic Services</t>
  </si>
  <si>
    <t>2. Tourism</t>
  </si>
  <si>
    <t>3. Census, Surveys &amp; Statistics</t>
  </si>
  <si>
    <t>4. Civil Supplies</t>
  </si>
  <si>
    <t>5. Other General Economic Services :</t>
  </si>
  <si>
    <t>TOTAL - (IX)</t>
  </si>
  <si>
    <t>X</t>
  </si>
  <si>
    <t xml:space="preserve">  SOCIAL SERVICES</t>
  </si>
  <si>
    <t xml:space="preserve">  Education</t>
  </si>
  <si>
    <t>1. General Education</t>
  </si>
  <si>
    <t>2. Technical Education</t>
  </si>
  <si>
    <t xml:space="preserve">3. Sports &amp; Youth Services </t>
  </si>
  <si>
    <t>4. Art &amp; Culture</t>
  </si>
  <si>
    <t xml:space="preserve">       SubTotal (Education)</t>
  </si>
  <si>
    <t>5. Medical &amp; Public Health</t>
  </si>
  <si>
    <t>6. Water Supply &amp; Sanitation</t>
  </si>
  <si>
    <t xml:space="preserve">7. Housing (incl. Police Housing)                       </t>
  </si>
  <si>
    <t>8. Urban Development (incl. State Capital Projects &amp; slum Area Development )</t>
  </si>
  <si>
    <t>9. Information &amp; Publicity</t>
  </si>
  <si>
    <t>10. Development of SCs, STs &amp; OBCs</t>
  </si>
  <si>
    <t>11. Labour &amp; Employment</t>
  </si>
  <si>
    <t>12. Social Security &amp; Social Welfare</t>
  </si>
  <si>
    <t>13. Empowerment of Women &amp; Development of Children</t>
  </si>
  <si>
    <t xml:space="preserve">TOTAL - (X) </t>
  </si>
  <si>
    <t>XI</t>
  </si>
  <si>
    <t>GENERAL SERVICES</t>
  </si>
  <si>
    <t xml:space="preserve">GRAND TOTAL         </t>
  </si>
  <si>
    <t>@</t>
  </si>
  <si>
    <t>APPROVED OUTLAY &amp; REVISED OUTLAY ANNUAL PLAN 2011-12</t>
  </si>
  <si>
    <t>@: Revision not sought by States/UTs. Approved Outlay repeated</t>
  </si>
  <si>
    <t>ODISHA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</si>
</sst>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5"/>
      <name val="Bookman Old Style"/>
      <family val="1"/>
    </font>
    <font>
      <sz val="10"/>
      <name val="Courier"/>
      <family val="3"/>
    </font>
    <font>
      <sz val="15"/>
      <name val="Bookman Old Style"/>
      <family val="1"/>
    </font>
    <font>
      <sz val="15"/>
      <name val="Times New Roman"/>
      <family val="1"/>
    </font>
    <font>
      <sz val="14"/>
      <name val="Bookman Old Style"/>
      <family val="1"/>
    </font>
    <font>
      <sz val="14"/>
      <name val="Arial"/>
      <family val="2"/>
    </font>
    <font>
      <sz val="18"/>
      <name val="Arial"/>
      <family val="2"/>
    </font>
    <font>
      <sz val="8"/>
      <name val="Calibri"/>
      <family val="2"/>
    </font>
    <font>
      <b/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0" xfId="55">
      <alignment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right" vertical="center" wrapText="1"/>
      <protection/>
    </xf>
    <xf numFmtId="0" fontId="5" fillId="0" borderId="0" xfId="55" applyFont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8" fillId="0" borderId="12" xfId="55" applyFont="1" applyBorder="1" applyAlignment="1" quotePrefix="1">
      <alignment horizontal="center"/>
      <protection/>
    </xf>
    <xf numFmtId="164" fontId="8" fillId="0" borderId="12" xfId="55" applyNumberFormat="1" applyFont="1" applyBorder="1" applyAlignment="1" quotePrefix="1">
      <alignment horizontal="center"/>
      <protection/>
    </xf>
    <xf numFmtId="165" fontId="8" fillId="0" borderId="12" xfId="58" applyFont="1" applyBorder="1" applyAlignment="1" applyProtection="1">
      <alignment horizontal="left" vertical="center"/>
      <protection/>
    </xf>
    <xf numFmtId="0" fontId="10" fillId="0" borderId="12" xfId="55" applyFont="1" applyBorder="1">
      <alignment/>
      <protection/>
    </xf>
    <xf numFmtId="2" fontId="10" fillId="0" borderId="12" xfId="55" applyNumberFormat="1" applyFont="1" applyBorder="1">
      <alignment/>
      <protection/>
    </xf>
    <xf numFmtId="165" fontId="10" fillId="0" borderId="12" xfId="58" applyFont="1" applyBorder="1" applyAlignment="1" applyProtection="1">
      <alignment horizontal="left" vertical="center"/>
      <protection/>
    </xf>
    <xf numFmtId="2" fontId="10" fillId="0" borderId="12" xfId="55" applyNumberFormat="1" applyFont="1" applyBorder="1" applyProtection="1">
      <alignment/>
      <protection/>
    </xf>
    <xf numFmtId="2" fontId="10" fillId="33" borderId="12" xfId="55" applyNumberFormat="1" applyFont="1" applyFill="1" applyBorder="1">
      <alignment/>
      <protection/>
    </xf>
    <xf numFmtId="2" fontId="2" fillId="0" borderId="0" xfId="55" applyNumberFormat="1">
      <alignment/>
      <protection/>
    </xf>
    <xf numFmtId="2" fontId="10" fillId="0" borderId="0" xfId="55" applyNumberFormat="1" applyFont="1" applyBorder="1">
      <alignment/>
      <protection/>
    </xf>
    <xf numFmtId="2" fontId="8" fillId="0" borderId="12" xfId="55" applyNumberFormat="1" applyFont="1" applyBorder="1">
      <alignment/>
      <protection/>
    </xf>
    <xf numFmtId="2" fontId="8" fillId="33" borderId="12" xfId="55" applyNumberFormat="1" applyFont="1" applyFill="1" applyBorder="1">
      <alignment/>
      <protection/>
    </xf>
    <xf numFmtId="2" fontId="8" fillId="0" borderId="12" xfId="55" applyNumberFormat="1" applyFont="1" applyBorder="1" applyAlignment="1">
      <alignment horizontal="center"/>
      <protection/>
    </xf>
    <xf numFmtId="2" fontId="11" fillId="33" borderId="12" xfId="55" applyNumberFormat="1" applyFont="1" applyFill="1" applyBorder="1">
      <alignment/>
      <protection/>
    </xf>
    <xf numFmtId="165" fontId="10" fillId="33" borderId="12" xfId="55" applyNumberFormat="1" applyFont="1" applyFill="1" applyBorder="1">
      <alignment/>
      <protection/>
    </xf>
    <xf numFmtId="165" fontId="10" fillId="0" borderId="12" xfId="58" applyFont="1" applyBorder="1" applyAlignment="1">
      <alignment vertical="center"/>
      <protection/>
    </xf>
    <xf numFmtId="165" fontId="10" fillId="0" borderId="12" xfId="58" applyFont="1" applyBorder="1" applyAlignment="1" applyProtection="1">
      <alignment horizontal="left" vertical="center" wrapText="1"/>
      <protection/>
    </xf>
    <xf numFmtId="165" fontId="10" fillId="0" borderId="12" xfId="58" applyFont="1" applyBorder="1" applyAlignment="1" applyProtection="1" quotePrefix="1">
      <alignment horizontal="left" vertical="center"/>
      <protection/>
    </xf>
    <xf numFmtId="2" fontId="12" fillId="0" borderId="0" xfId="55" applyNumberFormat="1" applyFont="1">
      <alignment/>
      <protection/>
    </xf>
    <xf numFmtId="2" fontId="13" fillId="0" borderId="0" xfId="55" applyNumberFormat="1" applyFont="1">
      <alignment/>
      <protection/>
    </xf>
    <xf numFmtId="0" fontId="2" fillId="0" borderId="0" xfId="55" applyAlignment="1">
      <alignment horizontal="center"/>
      <protection/>
    </xf>
    <xf numFmtId="2" fontId="10" fillId="0" borderId="13" xfId="55" applyNumberFormat="1" applyFont="1" applyBorder="1">
      <alignment/>
      <protection/>
    </xf>
    <xf numFmtId="2" fontId="2" fillId="0" borderId="0" xfId="55" applyNumberFormat="1" applyFont="1">
      <alignment/>
      <protection/>
    </xf>
    <xf numFmtId="0" fontId="14" fillId="0" borderId="0" xfId="55" applyFont="1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2" fontId="6" fillId="0" borderId="0" xfId="55" applyNumberFormat="1" applyFont="1" applyAlignment="1">
      <alignment horizontal="center"/>
      <protection/>
    </xf>
    <xf numFmtId="2" fontId="6" fillId="0" borderId="0" xfId="55" applyNumberFormat="1" applyFont="1">
      <alignment/>
      <protection/>
    </xf>
    <xf numFmtId="0" fontId="2" fillId="0" borderId="12" xfId="55" applyBorder="1">
      <alignment/>
      <protection/>
    </xf>
    <xf numFmtId="0" fontId="16" fillId="0" borderId="0" xfId="55" applyFont="1" quotePrefix="1">
      <alignment/>
      <protection/>
    </xf>
    <xf numFmtId="0" fontId="4" fillId="0" borderId="14" xfId="55" applyFont="1" applyBorder="1" applyAlignment="1">
      <alignment horizontal="center" vertical="top" wrapText="1"/>
      <protection/>
    </xf>
    <xf numFmtId="0" fontId="4" fillId="0" borderId="15" xfId="55" applyFont="1" applyBorder="1" applyAlignment="1">
      <alignment horizontal="center" vertical="top" wrapText="1"/>
      <protection/>
    </xf>
    <xf numFmtId="0" fontId="4" fillId="0" borderId="0" xfId="55" applyFont="1" applyAlignment="1">
      <alignment horizontal="center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justify" wrapText="1"/>
      <protection/>
    </xf>
    <xf numFmtId="0" fontId="4" fillId="0" borderId="15" xfId="55" applyFont="1" applyBorder="1" applyAlignment="1">
      <alignment horizontal="center" vertical="justify" wrapText="1"/>
      <protection/>
    </xf>
    <xf numFmtId="0" fontId="4" fillId="0" borderId="20" xfId="55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_Gen2004-0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9"/>
  <sheetViews>
    <sheetView tabSelected="1" zoomScale="55" zoomScaleNormal="55" zoomScaleSheetLayoutView="68" zoomScalePageLayoutView="0" workbookViewId="0" topLeftCell="A1">
      <pane xSplit="2" ySplit="4" topLeftCell="B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X9" sqref="BX9"/>
    </sheetView>
  </sheetViews>
  <sheetFormatPr defaultColWidth="9.140625" defaultRowHeight="15"/>
  <cols>
    <col min="1" max="1" width="6.421875" style="4" customWidth="1"/>
    <col min="2" max="2" width="60.421875" style="4" customWidth="1"/>
    <col min="3" max="4" width="24.8515625" style="4" customWidth="1"/>
    <col min="5" max="6" width="23.8515625" style="4" customWidth="1"/>
    <col min="7" max="8" width="23.421875" style="4" customWidth="1"/>
    <col min="9" max="10" width="21.57421875" style="4" customWidth="1"/>
    <col min="11" max="12" width="25.421875" style="4" customWidth="1"/>
    <col min="13" max="14" width="25.140625" style="4" customWidth="1"/>
    <col min="15" max="16" width="22.8515625" style="4" customWidth="1"/>
    <col min="17" max="18" width="26.00390625" style="4" customWidth="1"/>
    <col min="19" max="20" width="22.421875" style="4" customWidth="1"/>
    <col min="21" max="22" width="21.28125" style="4" customWidth="1"/>
    <col min="23" max="23" width="20.7109375" style="4" customWidth="1"/>
    <col min="24" max="24" width="26.8515625" style="4" customWidth="1"/>
    <col min="25" max="26" width="20.140625" style="4" customWidth="1"/>
    <col min="27" max="28" width="20.8515625" style="4" customWidth="1"/>
    <col min="29" max="30" width="23.00390625" style="4" customWidth="1"/>
    <col min="31" max="32" width="22.7109375" style="4" customWidth="1"/>
    <col min="33" max="34" width="21.421875" style="4" customWidth="1"/>
    <col min="35" max="36" width="22.28125" style="4" customWidth="1"/>
    <col min="37" max="38" width="22.8515625" style="4" customWidth="1"/>
    <col min="39" max="40" width="21.8515625" style="4" customWidth="1"/>
    <col min="41" max="42" width="23.8515625" style="4" customWidth="1"/>
    <col min="43" max="44" width="23.00390625" style="4" customWidth="1"/>
    <col min="45" max="48" width="22.8515625" style="4" customWidth="1"/>
    <col min="49" max="49" width="21.421875" style="4" customWidth="1"/>
    <col min="50" max="50" width="20.57421875" style="4" customWidth="1"/>
    <col min="51" max="52" width="20.8515625" style="4" customWidth="1"/>
    <col min="53" max="54" width="22.421875" style="4" customWidth="1"/>
    <col min="55" max="56" width="23.8515625" style="4" customWidth="1"/>
    <col min="57" max="58" width="23.57421875" style="4" customWidth="1"/>
    <col min="59" max="60" width="24.57421875" style="4" customWidth="1"/>
    <col min="61" max="62" width="24.00390625" style="4" customWidth="1"/>
    <col min="63" max="64" width="21.8515625" style="4" customWidth="1"/>
    <col min="65" max="66" width="22.28125" style="4" customWidth="1"/>
    <col min="67" max="68" width="23.7109375" style="4" customWidth="1"/>
    <col min="69" max="70" width="22.421875" style="4" customWidth="1"/>
    <col min="71" max="72" width="24.140625" style="4" customWidth="1"/>
    <col min="73" max="74" width="24.57421875" style="4" customWidth="1"/>
    <col min="75" max="76" width="24.7109375" style="4" customWidth="1"/>
    <col min="77" max="77" width="27.28125" style="4" customWidth="1"/>
    <col min="78" max="78" width="23.57421875" style="4" customWidth="1"/>
    <col min="79" max="79" width="10.140625" style="4" bestFit="1" customWidth="1"/>
    <col min="80" max="16384" width="9.140625" style="4" customWidth="1"/>
  </cols>
  <sheetData>
    <row r="1" spans="1:77" ht="20.25">
      <c r="A1" s="1"/>
      <c r="B1" s="1"/>
      <c r="C1" s="1"/>
      <c r="D1" s="1"/>
      <c r="E1" s="1"/>
      <c r="F1" s="1"/>
      <c r="G1" s="1"/>
      <c r="H1" s="1"/>
      <c r="I1" s="45" t="s">
        <v>0</v>
      </c>
      <c r="J1" s="45"/>
      <c r="K1" s="45"/>
      <c r="L1" s="2"/>
      <c r="M1" s="1"/>
      <c r="N1" s="1"/>
      <c r="O1" s="1"/>
      <c r="P1" s="1"/>
      <c r="Q1" s="1"/>
      <c r="R1" s="1"/>
      <c r="S1" s="45" t="s">
        <v>0</v>
      </c>
      <c r="T1" s="45"/>
      <c r="U1" s="45"/>
      <c r="V1" s="2"/>
      <c r="W1" s="1"/>
      <c r="X1" s="1"/>
      <c r="Y1" s="1"/>
      <c r="Z1" s="1"/>
      <c r="AA1" s="1"/>
      <c r="AB1" s="1"/>
      <c r="AC1" s="45" t="s">
        <v>0</v>
      </c>
      <c r="AD1" s="45"/>
      <c r="AE1" s="45"/>
      <c r="AF1" s="2"/>
      <c r="AG1" s="1"/>
      <c r="AH1" s="1"/>
      <c r="AI1" s="1"/>
      <c r="AJ1" s="1"/>
      <c r="AK1" s="1"/>
      <c r="AL1" s="1"/>
      <c r="AM1" s="45" t="s">
        <v>0</v>
      </c>
      <c r="AN1" s="45"/>
      <c r="AO1" s="45"/>
      <c r="AP1" s="2"/>
      <c r="AQ1" s="1"/>
      <c r="AR1" s="1"/>
      <c r="AS1" s="1"/>
      <c r="AT1" s="1"/>
      <c r="AU1" s="1"/>
      <c r="AV1" s="1"/>
      <c r="AW1" s="45" t="s">
        <v>0</v>
      </c>
      <c r="AX1" s="45"/>
      <c r="AY1" s="45"/>
      <c r="AZ1" s="2"/>
      <c r="BA1" s="3"/>
      <c r="BB1" s="3"/>
      <c r="BC1" s="1"/>
      <c r="BD1" s="1"/>
      <c r="BE1" s="1"/>
      <c r="BF1" s="1"/>
      <c r="BG1" s="45" t="s">
        <v>0</v>
      </c>
      <c r="BH1" s="45"/>
      <c r="BI1" s="45"/>
      <c r="BJ1" s="2"/>
      <c r="BK1" s="3"/>
      <c r="BL1" s="3"/>
      <c r="BM1" s="1"/>
      <c r="BN1" s="1"/>
      <c r="BO1" s="1"/>
      <c r="BP1" s="1"/>
      <c r="BQ1" s="45" t="s">
        <v>0</v>
      </c>
      <c r="BR1" s="45"/>
      <c r="BS1" s="45"/>
      <c r="BT1" s="2"/>
      <c r="BU1" s="3"/>
      <c r="BV1" s="3"/>
      <c r="BW1" s="45" t="s">
        <v>0</v>
      </c>
      <c r="BX1" s="45"/>
      <c r="BY1" s="45"/>
    </row>
    <row r="2" spans="1:77" ht="24" thickBot="1">
      <c r="A2" s="5"/>
      <c r="B2" s="6" t="s">
        <v>1</v>
      </c>
      <c r="C2" s="7" t="s">
        <v>139</v>
      </c>
      <c r="D2" s="7"/>
      <c r="E2" s="5"/>
      <c r="F2" s="5"/>
      <c r="G2" s="5"/>
      <c r="H2" s="5"/>
      <c r="I2" s="5"/>
      <c r="J2" s="5"/>
      <c r="M2" s="7" t="s">
        <v>139</v>
      </c>
      <c r="N2" s="7"/>
      <c r="O2" s="5"/>
      <c r="P2" s="5"/>
      <c r="Q2" s="5"/>
      <c r="R2" s="5"/>
      <c r="U2" s="5"/>
      <c r="V2" s="5"/>
      <c r="W2" s="7" t="s">
        <v>139</v>
      </c>
      <c r="X2" s="7"/>
      <c r="Y2" s="5"/>
      <c r="Z2" s="5"/>
      <c r="AA2" s="5"/>
      <c r="AB2" s="5"/>
      <c r="AC2" s="5"/>
      <c r="AD2" s="5"/>
      <c r="AG2" s="7" t="s">
        <v>139</v>
      </c>
      <c r="AH2" s="7"/>
      <c r="AI2" s="5"/>
      <c r="AJ2" s="5"/>
      <c r="AK2" s="5"/>
      <c r="AL2" s="5"/>
      <c r="AM2" s="5"/>
      <c r="AN2" s="5"/>
      <c r="AO2" s="5"/>
      <c r="AP2" s="5"/>
      <c r="AQ2" s="7" t="s">
        <v>139</v>
      </c>
      <c r="AR2" s="7"/>
      <c r="AS2" s="5"/>
      <c r="AT2" s="5"/>
      <c r="AU2" s="5"/>
      <c r="AV2" s="5"/>
      <c r="AW2" s="5"/>
      <c r="AX2" s="5"/>
      <c r="AY2" s="5"/>
      <c r="AZ2" s="5"/>
      <c r="BA2" s="7" t="s">
        <v>139</v>
      </c>
      <c r="BB2" s="7"/>
      <c r="BC2" s="5"/>
      <c r="BD2" s="5"/>
      <c r="BE2" s="5"/>
      <c r="BF2" s="5"/>
      <c r="BG2" s="5"/>
      <c r="BH2" s="5"/>
      <c r="BI2" s="5"/>
      <c r="BJ2" s="5"/>
      <c r="BK2" s="7" t="s">
        <v>139</v>
      </c>
      <c r="BL2" s="7"/>
      <c r="BM2" s="5"/>
      <c r="BN2" s="5"/>
      <c r="BO2" s="5"/>
      <c r="BP2" s="5"/>
      <c r="BQ2" s="5"/>
      <c r="BR2" s="5"/>
      <c r="BS2" s="5"/>
      <c r="BT2" s="5"/>
      <c r="BU2" s="7" t="s">
        <v>139</v>
      </c>
      <c r="BV2" s="7"/>
      <c r="BW2" s="5"/>
      <c r="BX2" s="5"/>
      <c r="BY2" s="5"/>
    </row>
    <row r="3" spans="1:78" s="8" customFormat="1" ht="42.75" customHeight="1">
      <c r="A3" s="46" t="s">
        <v>2</v>
      </c>
      <c r="B3" s="48" t="s">
        <v>3</v>
      </c>
      <c r="C3" s="50" t="s">
        <v>4</v>
      </c>
      <c r="D3" s="51"/>
      <c r="E3" s="43" t="s">
        <v>5</v>
      </c>
      <c r="F3" s="44"/>
      <c r="G3" s="43" t="s">
        <v>6</v>
      </c>
      <c r="H3" s="44"/>
      <c r="I3" s="43" t="s">
        <v>7</v>
      </c>
      <c r="J3" s="44"/>
      <c r="K3" s="43" t="s">
        <v>8</v>
      </c>
      <c r="L3" s="44"/>
      <c r="M3" s="43" t="s">
        <v>9</v>
      </c>
      <c r="N3" s="44"/>
      <c r="O3" s="43" t="s">
        <v>10</v>
      </c>
      <c r="P3" s="44"/>
      <c r="Q3" s="43" t="s">
        <v>11</v>
      </c>
      <c r="R3" s="44"/>
      <c r="S3" s="43" t="s">
        <v>12</v>
      </c>
      <c r="T3" s="44"/>
      <c r="U3" s="43" t="s">
        <v>13</v>
      </c>
      <c r="V3" s="44"/>
      <c r="W3" s="43" t="s">
        <v>14</v>
      </c>
      <c r="X3" s="44"/>
      <c r="Y3" s="43" t="s">
        <v>15</v>
      </c>
      <c r="Z3" s="44"/>
      <c r="AA3" s="43" t="s">
        <v>16</v>
      </c>
      <c r="AB3" s="44"/>
      <c r="AC3" s="43" t="s">
        <v>17</v>
      </c>
      <c r="AD3" s="44"/>
      <c r="AE3" s="43" t="s">
        <v>18</v>
      </c>
      <c r="AF3" s="44"/>
      <c r="AG3" s="43" t="s">
        <v>19</v>
      </c>
      <c r="AH3" s="44"/>
      <c r="AI3" s="43" t="s">
        <v>20</v>
      </c>
      <c r="AJ3" s="44"/>
      <c r="AK3" s="43" t="s">
        <v>21</v>
      </c>
      <c r="AL3" s="44"/>
      <c r="AM3" s="43" t="s">
        <v>22</v>
      </c>
      <c r="AN3" s="44"/>
      <c r="AO3" s="43" t="s">
        <v>141</v>
      </c>
      <c r="AP3" s="44"/>
      <c r="AQ3" s="43" t="s">
        <v>23</v>
      </c>
      <c r="AR3" s="44"/>
      <c r="AS3" s="43" t="s">
        <v>24</v>
      </c>
      <c r="AT3" s="44"/>
      <c r="AU3" s="43" t="s">
        <v>25</v>
      </c>
      <c r="AV3" s="44"/>
      <c r="AW3" s="43" t="s">
        <v>26</v>
      </c>
      <c r="AX3" s="44"/>
      <c r="AY3" s="43" t="s">
        <v>27</v>
      </c>
      <c r="AZ3" s="44"/>
      <c r="BA3" s="43" t="s">
        <v>28</v>
      </c>
      <c r="BB3" s="44"/>
      <c r="BC3" s="43" t="s">
        <v>29</v>
      </c>
      <c r="BD3" s="44"/>
      <c r="BE3" s="43" t="s">
        <v>30</v>
      </c>
      <c r="BF3" s="44"/>
      <c r="BG3" s="43" t="s">
        <v>31</v>
      </c>
      <c r="BH3" s="44"/>
      <c r="BI3" s="43" t="s">
        <v>32</v>
      </c>
      <c r="BJ3" s="44"/>
      <c r="BK3" s="43" t="s">
        <v>33</v>
      </c>
      <c r="BL3" s="44"/>
      <c r="BM3" s="43" t="s">
        <v>34</v>
      </c>
      <c r="BN3" s="44"/>
      <c r="BO3" s="43" t="s">
        <v>35</v>
      </c>
      <c r="BP3" s="44"/>
      <c r="BQ3" s="43" t="s">
        <v>36</v>
      </c>
      <c r="BR3" s="44"/>
      <c r="BS3" s="43" t="s">
        <v>37</v>
      </c>
      <c r="BT3" s="44"/>
      <c r="BU3" s="43" t="s">
        <v>38</v>
      </c>
      <c r="BV3" s="44"/>
      <c r="BW3" s="43" t="s">
        <v>39</v>
      </c>
      <c r="BX3" s="44"/>
      <c r="BY3" s="43" t="s">
        <v>40</v>
      </c>
      <c r="BZ3" s="52"/>
    </row>
    <row r="4" spans="1:78" s="8" customFormat="1" ht="86.25" customHeight="1" thickBot="1">
      <c r="A4" s="47"/>
      <c r="B4" s="49"/>
      <c r="C4" s="9" t="s">
        <v>41</v>
      </c>
      <c r="D4" s="10" t="s">
        <v>42</v>
      </c>
      <c r="E4" s="9" t="s">
        <v>41</v>
      </c>
      <c r="F4" s="10" t="s">
        <v>42</v>
      </c>
      <c r="G4" s="9" t="s">
        <v>41</v>
      </c>
      <c r="H4" s="10" t="s">
        <v>42</v>
      </c>
      <c r="I4" s="9" t="s">
        <v>41</v>
      </c>
      <c r="J4" s="10" t="s">
        <v>42</v>
      </c>
      <c r="K4" s="9" t="s">
        <v>41</v>
      </c>
      <c r="L4" s="10" t="s">
        <v>42</v>
      </c>
      <c r="M4" s="9" t="s">
        <v>41</v>
      </c>
      <c r="N4" s="10" t="s">
        <v>42</v>
      </c>
      <c r="O4" s="9" t="s">
        <v>41</v>
      </c>
      <c r="P4" s="10" t="s">
        <v>42</v>
      </c>
      <c r="Q4" s="9" t="s">
        <v>41</v>
      </c>
      <c r="R4" s="10" t="s">
        <v>42</v>
      </c>
      <c r="S4" s="9" t="s">
        <v>41</v>
      </c>
      <c r="T4" s="10" t="s">
        <v>42</v>
      </c>
      <c r="U4" s="9" t="s">
        <v>41</v>
      </c>
      <c r="V4" s="10" t="s">
        <v>42</v>
      </c>
      <c r="W4" s="9" t="s">
        <v>41</v>
      </c>
      <c r="X4" s="10" t="s">
        <v>42</v>
      </c>
      <c r="Y4" s="9" t="s">
        <v>41</v>
      </c>
      <c r="Z4" s="10" t="s">
        <v>42</v>
      </c>
      <c r="AA4" s="9" t="s">
        <v>41</v>
      </c>
      <c r="AB4" s="10" t="s">
        <v>42</v>
      </c>
      <c r="AC4" s="9" t="s">
        <v>41</v>
      </c>
      <c r="AD4" s="10" t="s">
        <v>42</v>
      </c>
      <c r="AE4" s="9" t="s">
        <v>41</v>
      </c>
      <c r="AF4" s="10" t="s">
        <v>42</v>
      </c>
      <c r="AG4" s="9" t="s">
        <v>41</v>
      </c>
      <c r="AH4" s="10" t="s">
        <v>42</v>
      </c>
      <c r="AI4" s="9" t="s">
        <v>41</v>
      </c>
      <c r="AJ4" s="10" t="s">
        <v>42</v>
      </c>
      <c r="AK4" s="9" t="s">
        <v>41</v>
      </c>
      <c r="AL4" s="10" t="s">
        <v>42</v>
      </c>
      <c r="AM4" s="9" t="s">
        <v>41</v>
      </c>
      <c r="AN4" s="10" t="s">
        <v>42</v>
      </c>
      <c r="AO4" s="9" t="s">
        <v>41</v>
      </c>
      <c r="AP4" s="10" t="s">
        <v>42</v>
      </c>
      <c r="AQ4" s="9" t="s">
        <v>41</v>
      </c>
      <c r="AR4" s="10" t="s">
        <v>42</v>
      </c>
      <c r="AS4" s="9" t="s">
        <v>41</v>
      </c>
      <c r="AT4" s="10" t="s">
        <v>42</v>
      </c>
      <c r="AU4" s="9" t="s">
        <v>41</v>
      </c>
      <c r="AV4" s="10" t="s">
        <v>42</v>
      </c>
      <c r="AW4" s="9" t="s">
        <v>41</v>
      </c>
      <c r="AX4" s="10" t="s">
        <v>42</v>
      </c>
      <c r="AY4" s="9" t="s">
        <v>41</v>
      </c>
      <c r="AZ4" s="10" t="s">
        <v>42</v>
      </c>
      <c r="BA4" s="9" t="s">
        <v>41</v>
      </c>
      <c r="BB4" s="10" t="s">
        <v>42</v>
      </c>
      <c r="BC4" s="9" t="s">
        <v>41</v>
      </c>
      <c r="BD4" s="10" t="s">
        <v>42</v>
      </c>
      <c r="BE4" s="9" t="s">
        <v>41</v>
      </c>
      <c r="BF4" s="10" t="s">
        <v>42</v>
      </c>
      <c r="BG4" s="9" t="s">
        <v>41</v>
      </c>
      <c r="BH4" s="10" t="s">
        <v>42</v>
      </c>
      <c r="BI4" s="9" t="s">
        <v>41</v>
      </c>
      <c r="BJ4" s="10" t="s">
        <v>42</v>
      </c>
      <c r="BK4" s="9" t="s">
        <v>41</v>
      </c>
      <c r="BL4" s="10" t="s">
        <v>42</v>
      </c>
      <c r="BM4" s="9" t="s">
        <v>41</v>
      </c>
      <c r="BN4" s="10" t="s">
        <v>42</v>
      </c>
      <c r="BO4" s="9" t="s">
        <v>41</v>
      </c>
      <c r="BP4" s="10" t="s">
        <v>42</v>
      </c>
      <c r="BQ4" s="9" t="s">
        <v>41</v>
      </c>
      <c r="BR4" s="10" t="s">
        <v>42</v>
      </c>
      <c r="BS4" s="9" t="s">
        <v>41</v>
      </c>
      <c r="BT4" s="10" t="s">
        <v>42</v>
      </c>
      <c r="BU4" s="11" t="s">
        <v>41</v>
      </c>
      <c r="BV4" s="10" t="s">
        <v>42</v>
      </c>
      <c r="BW4" s="9" t="s">
        <v>41</v>
      </c>
      <c r="BX4" s="10" t="s">
        <v>42</v>
      </c>
      <c r="BY4" s="12" t="s">
        <v>41</v>
      </c>
      <c r="BZ4" s="10" t="s">
        <v>42</v>
      </c>
    </row>
    <row r="5" spans="1:78" ht="19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41"/>
    </row>
    <row r="6" spans="1:78" ht="19.5">
      <c r="A6" s="15" t="s">
        <v>43</v>
      </c>
      <c r="B6" s="15" t="s">
        <v>44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41"/>
    </row>
    <row r="7" spans="1:78" ht="19.5">
      <c r="A7" s="18"/>
      <c r="B7" s="18" t="s">
        <v>45</v>
      </c>
      <c r="C7" s="17">
        <v>147073.04</v>
      </c>
      <c r="D7" s="17">
        <v>147073.04</v>
      </c>
      <c r="E7" s="19">
        <v>4059</v>
      </c>
      <c r="F7" s="19">
        <v>4059</v>
      </c>
      <c r="G7" s="19">
        <f>37225.6+13735</f>
        <v>50960.6</v>
      </c>
      <c r="H7" s="19">
        <f>35469.6+13735</f>
        <v>49204.6</v>
      </c>
      <c r="I7" s="19">
        <v>79893.18</v>
      </c>
      <c r="J7" s="19">
        <v>73478.18</v>
      </c>
      <c r="K7" s="17">
        <f>547.52*100</f>
        <v>54752</v>
      </c>
      <c r="L7" s="17">
        <f>547.52*100</f>
        <v>54752</v>
      </c>
      <c r="M7" s="17">
        <v>5219.98</v>
      </c>
      <c r="N7" s="17">
        <v>5219.98</v>
      </c>
      <c r="O7" s="17">
        <v>99259.72</v>
      </c>
      <c r="P7" s="17">
        <v>99259.72</v>
      </c>
      <c r="Q7" s="17">
        <v>34000</v>
      </c>
      <c r="R7" s="17">
        <v>34000</v>
      </c>
      <c r="S7" s="17">
        <f>84.42*100</f>
        <v>8442</v>
      </c>
      <c r="T7" s="17">
        <v>8712.47</v>
      </c>
      <c r="U7" s="17">
        <v>3288.11</v>
      </c>
      <c r="V7" s="17">
        <v>3288.11</v>
      </c>
      <c r="W7" s="17">
        <v>10996</v>
      </c>
      <c r="X7" s="17">
        <v>10996</v>
      </c>
      <c r="Y7" s="17">
        <f>1641.23*100</f>
        <v>164123</v>
      </c>
      <c r="Z7" s="17">
        <f>1641.23*100</f>
        <v>164123</v>
      </c>
      <c r="AA7" s="17">
        <f>136.61*100</f>
        <v>13661.000000000002</v>
      </c>
      <c r="AB7" s="17">
        <f>136.61*100</f>
        <v>13661.000000000002</v>
      </c>
      <c r="AC7" s="17">
        <v>80137.9</v>
      </c>
      <c r="AD7" s="17">
        <v>80137.9</v>
      </c>
      <c r="AE7" s="20">
        <v>116175.69</v>
      </c>
      <c r="AF7" s="20">
        <v>116175.69</v>
      </c>
      <c r="AG7" s="20">
        <v>1000</v>
      </c>
      <c r="AH7" s="20">
        <v>1030.88</v>
      </c>
      <c r="AI7" s="17">
        <v>2700</v>
      </c>
      <c r="AJ7" s="17">
        <v>2600</v>
      </c>
      <c r="AK7" s="17">
        <f>15204.76+215</f>
        <v>15419.76</v>
      </c>
      <c r="AL7" s="17">
        <f>17347.91+182</f>
        <v>17529.91</v>
      </c>
      <c r="AM7" s="17">
        <v>6200</v>
      </c>
      <c r="AN7" s="17">
        <v>6200.48</v>
      </c>
      <c r="AO7" s="17">
        <v>43132</v>
      </c>
      <c r="AP7" s="17">
        <v>41015</v>
      </c>
      <c r="AQ7" s="17">
        <v>29936.9</v>
      </c>
      <c r="AR7" s="17">
        <v>16282.82</v>
      </c>
      <c r="AS7" s="17">
        <v>85945.45</v>
      </c>
      <c r="AT7" s="17">
        <v>85945.45</v>
      </c>
      <c r="AU7" s="17">
        <v>1654.49</v>
      </c>
      <c r="AV7" s="17">
        <v>1654.49</v>
      </c>
      <c r="AW7" s="17">
        <f>732.76*100</f>
        <v>73276</v>
      </c>
      <c r="AX7" s="17">
        <f>856.17*100</f>
        <v>85617</v>
      </c>
      <c r="AY7" s="17">
        <v>12964.48</v>
      </c>
      <c r="AZ7" s="17">
        <v>3112.9</v>
      </c>
      <c r="BA7" s="17">
        <v>144489</v>
      </c>
      <c r="BB7" s="17">
        <v>110062</v>
      </c>
      <c r="BC7" s="17">
        <v>28479.01</v>
      </c>
      <c r="BD7" s="17">
        <v>28479.01</v>
      </c>
      <c r="BE7" s="17">
        <v>25125</v>
      </c>
      <c r="BF7" s="17">
        <v>25125</v>
      </c>
      <c r="BG7" s="17">
        <f aca="true" t="shared" si="0" ref="BG7:BH9">+C7+E7+G7+I7+K7+M7+O7+Q7+S7+U7+W7+Y7+AA7+AC7+AE7+AG7+AI7+AK7+AM7+AO7+AQ7+AS7+AU7+AW7+AY7+BA7+BC7+BE7</f>
        <v>1342363.31</v>
      </c>
      <c r="BH7" s="17">
        <f t="shared" si="0"/>
        <v>1288795.6299999997</v>
      </c>
      <c r="BI7" s="17">
        <v>1730</v>
      </c>
      <c r="BJ7" s="17">
        <v>1730</v>
      </c>
      <c r="BK7" s="17">
        <v>5</v>
      </c>
      <c r="BL7" s="17">
        <v>5</v>
      </c>
      <c r="BM7" s="17">
        <v>438</v>
      </c>
      <c r="BN7" s="17">
        <v>438</v>
      </c>
      <c r="BO7" s="17">
        <v>426</v>
      </c>
      <c r="BP7" s="17">
        <v>426</v>
      </c>
      <c r="BQ7" s="17">
        <v>0</v>
      </c>
      <c r="BR7" s="17">
        <v>0</v>
      </c>
      <c r="BS7" s="17">
        <v>800</v>
      </c>
      <c r="BT7" s="17">
        <v>800</v>
      </c>
      <c r="BU7" s="17">
        <v>3300.3</v>
      </c>
      <c r="BV7" s="17">
        <v>2961.03</v>
      </c>
      <c r="BW7" s="17">
        <f>SUM(BI7+BK7+BM7+BO7+BQ7+BS7+BU7)</f>
        <v>6699.3</v>
      </c>
      <c r="BX7" s="17">
        <f aca="true" t="shared" si="1" ref="BW7:BX9">SUM(BJ7+BL7+BN7+BP7+BR7+BT7+BV7)</f>
        <v>6360.030000000001</v>
      </c>
      <c r="BY7" s="17">
        <f aca="true" t="shared" si="2" ref="BY7:BZ9">+BW7+BG7</f>
        <v>1349062.61</v>
      </c>
      <c r="BZ7" s="17">
        <f t="shared" si="2"/>
        <v>1295155.6599999997</v>
      </c>
    </row>
    <row r="8" spans="1:78" ht="19.5">
      <c r="A8" s="18"/>
      <c r="B8" s="18" t="s">
        <v>46</v>
      </c>
      <c r="C8" s="17">
        <v>0</v>
      </c>
      <c r="D8" s="17">
        <v>0</v>
      </c>
      <c r="E8" s="19">
        <v>1150</v>
      </c>
      <c r="F8" s="19">
        <v>1150</v>
      </c>
      <c r="G8" s="19">
        <v>648</v>
      </c>
      <c r="H8" s="19">
        <v>248</v>
      </c>
      <c r="I8" s="19">
        <v>2100</v>
      </c>
      <c r="J8" s="19">
        <v>3848</v>
      </c>
      <c r="K8" s="17">
        <f>161.2*100</f>
        <v>16119.999999999998</v>
      </c>
      <c r="L8" s="17">
        <f>161.2*100</f>
        <v>16119.999999999998</v>
      </c>
      <c r="M8" s="17">
        <v>769.92</v>
      </c>
      <c r="N8" s="17">
        <v>769.92</v>
      </c>
      <c r="O8" s="17">
        <v>11200</v>
      </c>
      <c r="P8" s="17">
        <v>11200</v>
      </c>
      <c r="Q8" s="17">
        <v>2450</v>
      </c>
      <c r="R8" s="17">
        <v>5441.22</v>
      </c>
      <c r="S8" s="17">
        <f>14.67*100</f>
        <v>1467</v>
      </c>
      <c r="T8" s="17">
        <v>1544.68</v>
      </c>
      <c r="U8" s="17">
        <v>647.82</v>
      </c>
      <c r="V8" s="17">
        <v>647.82</v>
      </c>
      <c r="W8" s="17">
        <v>1550</v>
      </c>
      <c r="X8" s="17">
        <v>1550</v>
      </c>
      <c r="Y8" s="17">
        <f>508.54*100</f>
        <v>50854</v>
      </c>
      <c r="Z8" s="17">
        <f>508.54*100</f>
        <v>50854</v>
      </c>
      <c r="AA8" s="17">
        <v>0</v>
      </c>
      <c r="AB8" s="17">
        <v>0</v>
      </c>
      <c r="AC8" s="17">
        <v>14778.64</v>
      </c>
      <c r="AD8" s="17">
        <v>14778.64</v>
      </c>
      <c r="AE8" s="20">
        <v>18493.63</v>
      </c>
      <c r="AF8" s="20">
        <v>18493.63</v>
      </c>
      <c r="AG8" s="20">
        <f>350+4180</f>
        <v>4530</v>
      </c>
      <c r="AH8" s="20">
        <v>300</v>
      </c>
      <c r="AI8" s="17">
        <v>3500</v>
      </c>
      <c r="AJ8" s="17">
        <v>3500</v>
      </c>
      <c r="AK8" s="17">
        <v>2348.94</v>
      </c>
      <c r="AL8" s="17">
        <v>2335.94</v>
      </c>
      <c r="AM8" s="17">
        <v>1377</v>
      </c>
      <c r="AN8" s="17">
        <v>1380</v>
      </c>
      <c r="AO8" s="17">
        <v>2703</v>
      </c>
      <c r="AP8" s="17">
        <v>2500</v>
      </c>
      <c r="AQ8" s="17">
        <v>0</v>
      </c>
      <c r="AR8" s="17">
        <v>0</v>
      </c>
      <c r="AS8" s="17">
        <v>9000</v>
      </c>
      <c r="AT8" s="17">
        <v>9000</v>
      </c>
      <c r="AU8" s="17">
        <v>893.34</v>
      </c>
      <c r="AV8" s="17">
        <v>893.34</v>
      </c>
      <c r="AW8" s="17">
        <v>0</v>
      </c>
      <c r="AX8" s="32">
        <v>0</v>
      </c>
      <c r="AY8" s="17">
        <v>1163.77</v>
      </c>
      <c r="AZ8" s="17">
        <v>986.31</v>
      </c>
      <c r="BA8" s="17">
        <v>2850</v>
      </c>
      <c r="BB8" s="17">
        <v>1700</v>
      </c>
      <c r="BC8" s="17">
        <v>0</v>
      </c>
      <c r="BD8" s="17">
        <v>0</v>
      </c>
      <c r="BE8" s="17">
        <v>5554</v>
      </c>
      <c r="BF8" s="17">
        <v>5554</v>
      </c>
      <c r="BG8" s="17">
        <f t="shared" si="0"/>
        <v>156149.05999999997</v>
      </c>
      <c r="BH8" s="17">
        <f t="shared" si="0"/>
        <v>154795.5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3</v>
      </c>
      <c r="BP8" s="17">
        <v>3</v>
      </c>
      <c r="BQ8" s="17">
        <v>0</v>
      </c>
      <c r="BR8" s="17">
        <v>0</v>
      </c>
      <c r="BS8" s="17">
        <v>0</v>
      </c>
      <c r="BT8" s="17">
        <v>0</v>
      </c>
      <c r="BU8" s="17">
        <v>3708</v>
      </c>
      <c r="BV8" s="17">
        <v>3708</v>
      </c>
      <c r="BW8" s="17">
        <f t="shared" si="1"/>
        <v>3711</v>
      </c>
      <c r="BX8" s="17">
        <f t="shared" si="1"/>
        <v>3711</v>
      </c>
      <c r="BY8" s="17">
        <f t="shared" si="2"/>
        <v>159860.05999999997</v>
      </c>
      <c r="BZ8" s="17">
        <f t="shared" si="2"/>
        <v>158506.5</v>
      </c>
    </row>
    <row r="9" spans="1:78" ht="19.5">
      <c r="A9" s="18"/>
      <c r="B9" s="18" t="s">
        <v>47</v>
      </c>
      <c r="C9" s="17">
        <v>0</v>
      </c>
      <c r="D9" s="17">
        <v>0</v>
      </c>
      <c r="E9" s="17">
        <v>978</v>
      </c>
      <c r="F9" s="17">
        <v>978</v>
      </c>
      <c r="G9" s="17">
        <v>1205</v>
      </c>
      <c r="H9" s="17">
        <v>1096</v>
      </c>
      <c r="I9" s="17">
        <v>450</v>
      </c>
      <c r="J9" s="17">
        <v>417</v>
      </c>
      <c r="K9" s="17">
        <v>0</v>
      </c>
      <c r="L9" s="17">
        <v>0</v>
      </c>
      <c r="M9" s="17">
        <v>901.6</v>
      </c>
      <c r="N9" s="17">
        <v>901.6</v>
      </c>
      <c r="O9" s="17">
        <v>33964</v>
      </c>
      <c r="P9" s="17">
        <v>33964</v>
      </c>
      <c r="Q9" s="17">
        <v>1485</v>
      </c>
      <c r="R9" s="17">
        <v>1485</v>
      </c>
      <c r="S9" s="17">
        <f>53.47*100</f>
        <v>5347</v>
      </c>
      <c r="T9" s="17">
        <v>5347</v>
      </c>
      <c r="U9" s="17">
        <v>727.5</v>
      </c>
      <c r="V9" s="17">
        <v>727.5</v>
      </c>
      <c r="W9" s="17">
        <v>1343</v>
      </c>
      <c r="X9" s="17">
        <v>1343</v>
      </c>
      <c r="Y9" s="17">
        <f>163.76*100</f>
        <v>16376</v>
      </c>
      <c r="Z9" s="17">
        <f>163.76*100</f>
        <v>16376</v>
      </c>
      <c r="AA9" s="17">
        <f>37.1*100</f>
        <v>3710</v>
      </c>
      <c r="AB9" s="17">
        <f>37.1*100</f>
        <v>3710</v>
      </c>
      <c r="AC9" s="17">
        <v>975</v>
      </c>
      <c r="AD9" s="17">
        <v>975</v>
      </c>
      <c r="AE9" s="20">
        <v>55185.48</v>
      </c>
      <c r="AF9" s="20">
        <v>55185.48</v>
      </c>
      <c r="AG9" s="20">
        <f>933+125</f>
        <v>1058</v>
      </c>
      <c r="AH9" s="20">
        <f>966.02+117.8</f>
        <v>1083.82</v>
      </c>
      <c r="AI9" s="17">
        <v>11100</v>
      </c>
      <c r="AJ9" s="17">
        <v>10979</v>
      </c>
      <c r="AK9" s="17">
        <v>2886.54</v>
      </c>
      <c r="AL9" s="17">
        <v>2882.54</v>
      </c>
      <c r="AM9" s="17">
        <v>1855</v>
      </c>
      <c r="AN9" s="17">
        <v>1855</v>
      </c>
      <c r="AO9" s="17">
        <v>2884</v>
      </c>
      <c r="AP9" s="17">
        <v>2500</v>
      </c>
      <c r="AQ9" s="17">
        <v>3386</v>
      </c>
      <c r="AR9" s="17">
        <v>3421.02</v>
      </c>
      <c r="AS9" s="17">
        <v>19.15</v>
      </c>
      <c r="AT9" s="17">
        <v>19.15</v>
      </c>
      <c r="AU9" s="17">
        <v>53.84</v>
      </c>
      <c r="AV9" s="17">
        <v>53.84</v>
      </c>
      <c r="AW9" s="17">
        <f>175.6*100</f>
        <v>17560</v>
      </c>
      <c r="AX9" s="17">
        <f>161.07*100</f>
        <v>16107</v>
      </c>
      <c r="AY9" s="17">
        <v>53.72</v>
      </c>
      <c r="AZ9" s="17">
        <v>53.53</v>
      </c>
      <c r="BA9" s="17">
        <v>53109</v>
      </c>
      <c r="BB9" s="17">
        <v>32000</v>
      </c>
      <c r="BC9" s="17">
        <v>12165</v>
      </c>
      <c r="BD9" s="17">
        <v>12165</v>
      </c>
      <c r="BE9" s="17">
        <v>1792</v>
      </c>
      <c r="BF9" s="17">
        <v>1792</v>
      </c>
      <c r="BG9" s="17">
        <f t="shared" si="0"/>
        <v>230569.83000000002</v>
      </c>
      <c r="BH9" s="17">
        <f t="shared" si="0"/>
        <v>207417.48</v>
      </c>
      <c r="BI9" s="17">
        <v>1123</v>
      </c>
      <c r="BJ9" s="17">
        <v>1123</v>
      </c>
      <c r="BK9" s="17">
        <v>0</v>
      </c>
      <c r="BL9" s="17">
        <v>0</v>
      </c>
      <c r="BM9" s="17">
        <v>235</v>
      </c>
      <c r="BN9" s="17">
        <v>235</v>
      </c>
      <c r="BO9" s="17">
        <v>602</v>
      </c>
      <c r="BP9" s="17">
        <v>602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f t="shared" si="1"/>
        <v>1960</v>
      </c>
      <c r="BX9" s="17">
        <f t="shared" si="1"/>
        <v>1960</v>
      </c>
      <c r="BY9" s="17">
        <f t="shared" si="2"/>
        <v>232529.83000000002</v>
      </c>
      <c r="BZ9" s="17">
        <f t="shared" si="2"/>
        <v>209377.48</v>
      </c>
    </row>
    <row r="10" spans="1:78" ht="23.25" customHeight="1">
      <c r="A10" s="18"/>
      <c r="B10" s="18" t="s">
        <v>48</v>
      </c>
      <c r="C10" s="17"/>
      <c r="D10" s="17"/>
      <c r="E10" s="19"/>
      <c r="F10" s="19"/>
      <c r="G10" s="19"/>
      <c r="H10" s="19"/>
      <c r="I10" s="19"/>
      <c r="J10" s="19"/>
      <c r="K10" s="17"/>
      <c r="L10" s="17"/>
      <c r="M10" s="17"/>
      <c r="N10" s="17"/>
      <c r="O10" s="17"/>
      <c r="P10" s="17"/>
      <c r="Q10" s="17"/>
      <c r="R10" s="17"/>
      <c r="S10" s="17"/>
      <c r="T10" s="22"/>
      <c r="W10" s="17"/>
      <c r="X10" s="17"/>
      <c r="Y10" s="17"/>
      <c r="Z10" s="17"/>
      <c r="AA10" s="17"/>
      <c r="AB10" s="17"/>
      <c r="AC10" s="17"/>
      <c r="AD10" s="17"/>
      <c r="AE10" s="20"/>
      <c r="AF10" s="20"/>
      <c r="AG10" s="20"/>
      <c r="AH10" s="20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ht="20.25" customHeight="1">
      <c r="A11" s="18"/>
      <c r="B11" s="18" t="s">
        <v>49</v>
      </c>
      <c r="C11" s="17">
        <v>6437.02</v>
      </c>
      <c r="D11" s="17">
        <v>6437.02</v>
      </c>
      <c r="E11" s="19">
        <v>1403.39</v>
      </c>
      <c r="F11" s="19">
        <v>1403.39</v>
      </c>
      <c r="G11" s="19">
        <f>3445+590</f>
        <v>4035</v>
      </c>
      <c r="H11" s="19">
        <f>3197+590</f>
        <v>3787</v>
      </c>
      <c r="I11" s="19">
        <v>9479.75</v>
      </c>
      <c r="J11" s="19">
        <v>6979.75</v>
      </c>
      <c r="K11" s="17">
        <f>138.77*100</f>
        <v>13877.000000000002</v>
      </c>
      <c r="L11" s="17">
        <f>138.77*100</f>
        <v>13877.000000000002</v>
      </c>
      <c r="M11" s="17">
        <v>1833.81</v>
      </c>
      <c r="N11" s="17">
        <v>1833.81</v>
      </c>
      <c r="O11" s="17">
        <v>25240.73</v>
      </c>
      <c r="P11" s="17">
        <v>25240.73</v>
      </c>
      <c r="Q11" s="17">
        <v>7000</v>
      </c>
      <c r="R11" s="17">
        <v>7000</v>
      </c>
      <c r="S11" s="17">
        <f>28.23*100</f>
        <v>2823</v>
      </c>
      <c r="T11" s="17">
        <v>2925.29</v>
      </c>
      <c r="U11" s="17">
        <v>3140.9</v>
      </c>
      <c r="V11" s="17">
        <v>3140.9</v>
      </c>
      <c r="W11" s="17">
        <v>3600</v>
      </c>
      <c r="X11" s="17">
        <v>3600</v>
      </c>
      <c r="Y11" s="17">
        <f>327.11*100</f>
        <v>32711</v>
      </c>
      <c r="Z11" s="17">
        <f>327.11*100</f>
        <v>32711</v>
      </c>
      <c r="AA11" s="17">
        <f>190.93*100</f>
        <v>19093</v>
      </c>
      <c r="AB11" s="17">
        <f>190.93*100</f>
        <v>19093</v>
      </c>
      <c r="AC11" s="17">
        <v>17290.13</v>
      </c>
      <c r="AD11" s="17">
        <v>17290.13</v>
      </c>
      <c r="AE11" s="20">
        <v>21093.62</v>
      </c>
      <c r="AF11" s="20">
        <v>21093.62</v>
      </c>
      <c r="AG11" s="20">
        <v>925</v>
      </c>
      <c r="AH11" s="20">
        <v>589</v>
      </c>
      <c r="AI11" s="17">
        <v>3000</v>
      </c>
      <c r="AJ11" s="17">
        <v>3345</v>
      </c>
      <c r="AK11" s="17">
        <v>8914.4</v>
      </c>
      <c r="AL11" s="17">
        <v>8926.23</v>
      </c>
      <c r="AM11" s="17">
        <v>3032</v>
      </c>
      <c r="AN11" s="17">
        <v>3268.16</v>
      </c>
      <c r="AO11" s="17">
        <v>6138</v>
      </c>
      <c r="AP11" s="17">
        <v>3200</v>
      </c>
      <c r="AQ11" s="17">
        <v>4478</v>
      </c>
      <c r="AR11" s="17">
        <v>2760.86</v>
      </c>
      <c r="AS11" s="17">
        <v>5212.06</v>
      </c>
      <c r="AT11" s="17">
        <v>5212.06</v>
      </c>
      <c r="AU11" s="17">
        <v>813.56</v>
      </c>
      <c r="AV11" s="17">
        <v>813.56</v>
      </c>
      <c r="AW11" s="17">
        <f>266.3*100</f>
        <v>26630</v>
      </c>
      <c r="AX11" s="17">
        <f>264.88*100</f>
        <v>26488</v>
      </c>
      <c r="AY11" s="17">
        <v>1235.81</v>
      </c>
      <c r="AZ11" s="17">
        <v>1032.86</v>
      </c>
      <c r="BA11" s="17">
        <v>6060</v>
      </c>
      <c r="BB11" s="17">
        <v>4000</v>
      </c>
      <c r="BC11" s="17">
        <v>3171.91</v>
      </c>
      <c r="BD11" s="17">
        <v>3171.91</v>
      </c>
      <c r="BE11" s="17">
        <v>11848</v>
      </c>
      <c r="BF11" s="17">
        <v>11848</v>
      </c>
      <c r="BG11" s="17">
        <f aca="true" t="shared" si="3" ref="BG11:BH18">+C11+E11+G11+I11+K11+M11+O11+Q11+S11+U11+W11+Y11+AA11+AC11+AE11+AG11+AI11+AK11+AM11+AO11+AQ11+AS11+AU11+AW11+AY11+BA11+BC11+BE11</f>
        <v>250517.08999999997</v>
      </c>
      <c r="BH11" s="17">
        <f t="shared" si="3"/>
        <v>241068.27999999997</v>
      </c>
      <c r="BI11" s="17">
        <v>1673</v>
      </c>
      <c r="BJ11" s="17">
        <v>1673</v>
      </c>
      <c r="BK11" s="17">
        <v>28</v>
      </c>
      <c r="BL11" s="17">
        <v>26</v>
      </c>
      <c r="BM11" s="17">
        <v>85</v>
      </c>
      <c r="BN11" s="17">
        <v>85</v>
      </c>
      <c r="BO11" s="17">
        <v>220</v>
      </c>
      <c r="BP11" s="17">
        <v>220</v>
      </c>
      <c r="BQ11" s="17">
        <v>0</v>
      </c>
      <c r="BR11" s="17">
        <v>0</v>
      </c>
      <c r="BS11" s="17">
        <v>800</v>
      </c>
      <c r="BT11" s="17">
        <v>800</v>
      </c>
      <c r="BU11" s="17">
        <v>3000</v>
      </c>
      <c r="BV11" s="17">
        <v>1740</v>
      </c>
      <c r="BW11" s="17">
        <f aca="true" t="shared" si="4" ref="BW11:BW18">SUM(BI11+BK11+BM11+BO11+BQ11+BS11+BU11)</f>
        <v>5806</v>
      </c>
      <c r="BX11" s="17">
        <f aca="true" t="shared" si="5" ref="BX11:BX18">SUM(BJ11+BL11+BN11+BP11+BR11+BT11+BV11)</f>
        <v>4544</v>
      </c>
      <c r="BY11" s="17">
        <f aca="true" t="shared" si="6" ref="BY11:BZ21">+BW11+BG11</f>
        <v>256323.08999999997</v>
      </c>
      <c r="BZ11" s="17">
        <f t="shared" si="6"/>
        <v>245612.27999999997</v>
      </c>
    </row>
    <row r="12" spans="1:78" ht="19.5">
      <c r="A12" s="18"/>
      <c r="B12" s="18" t="s">
        <v>50</v>
      </c>
      <c r="C12" s="17">
        <v>0</v>
      </c>
      <c r="D12" s="17">
        <v>0</v>
      </c>
      <c r="E12" s="19">
        <v>120</v>
      </c>
      <c r="F12" s="19">
        <v>120</v>
      </c>
      <c r="G12" s="19">
        <f>1383.45+200</f>
        <v>1583.45</v>
      </c>
      <c r="H12" s="19">
        <f>1053.45+200</f>
        <v>1253.45</v>
      </c>
      <c r="I12" s="19">
        <v>4900</v>
      </c>
      <c r="J12" s="19">
        <v>3900</v>
      </c>
      <c r="K12" s="17">
        <v>0</v>
      </c>
      <c r="L12" s="17">
        <v>0</v>
      </c>
      <c r="M12" s="17">
        <v>1453</v>
      </c>
      <c r="N12" s="17">
        <v>1453</v>
      </c>
      <c r="O12" s="17">
        <v>8350</v>
      </c>
      <c r="P12" s="17">
        <v>8350</v>
      </c>
      <c r="Q12" s="17">
        <v>0</v>
      </c>
      <c r="R12" s="17">
        <v>0</v>
      </c>
      <c r="S12" s="17">
        <f>0.5*100</f>
        <v>50</v>
      </c>
      <c r="T12" s="17">
        <v>50</v>
      </c>
      <c r="U12" s="17">
        <v>0</v>
      </c>
      <c r="V12" s="17">
        <v>0</v>
      </c>
      <c r="W12" s="17">
        <v>4048</v>
      </c>
      <c r="X12" s="17">
        <v>4048</v>
      </c>
      <c r="Y12" s="17">
        <f>288*100</f>
        <v>28800</v>
      </c>
      <c r="Z12" s="17">
        <f>288*100</f>
        <v>28800</v>
      </c>
      <c r="AA12" s="17">
        <f>26*100</f>
        <v>2600</v>
      </c>
      <c r="AB12" s="17">
        <f>26*100</f>
        <v>2600</v>
      </c>
      <c r="AC12" s="17">
        <v>0</v>
      </c>
      <c r="AD12" s="17">
        <v>0</v>
      </c>
      <c r="AE12" s="20">
        <v>723.2</v>
      </c>
      <c r="AF12" s="20">
        <v>723.2</v>
      </c>
      <c r="AG12" s="20">
        <v>50</v>
      </c>
      <c r="AH12" s="20">
        <v>50</v>
      </c>
      <c r="AI12" s="17">
        <v>750</v>
      </c>
      <c r="AJ12" s="17">
        <v>405</v>
      </c>
      <c r="AK12" s="17">
        <v>50</v>
      </c>
      <c r="AL12" s="17">
        <v>50</v>
      </c>
      <c r="AM12" s="17">
        <v>53</v>
      </c>
      <c r="AN12" s="17">
        <v>53</v>
      </c>
      <c r="AO12" s="17">
        <v>500</v>
      </c>
      <c r="AP12" s="17">
        <v>500</v>
      </c>
      <c r="AQ12" s="17">
        <v>1276</v>
      </c>
      <c r="AR12" s="17">
        <v>650</v>
      </c>
      <c r="AS12" s="17">
        <v>0.01</v>
      </c>
      <c r="AT12" s="17">
        <v>0.01</v>
      </c>
      <c r="AU12" s="17">
        <v>66.5</v>
      </c>
      <c r="AV12" s="17">
        <v>66.5</v>
      </c>
      <c r="AW12" s="17">
        <f>36.93*100</f>
        <v>3693</v>
      </c>
      <c r="AX12" s="17">
        <f>37.17*100</f>
        <v>3717</v>
      </c>
      <c r="AY12" s="17">
        <v>1.16</v>
      </c>
      <c r="AZ12" s="17">
        <v>7.91</v>
      </c>
      <c r="BA12" s="17">
        <v>2802</v>
      </c>
      <c r="BB12" s="17">
        <v>1920</v>
      </c>
      <c r="BC12" s="17">
        <v>943.62</v>
      </c>
      <c r="BD12" s="17">
        <v>943.62</v>
      </c>
      <c r="BE12" s="17">
        <v>350</v>
      </c>
      <c r="BF12" s="17">
        <v>350</v>
      </c>
      <c r="BG12" s="17">
        <f t="shared" si="3"/>
        <v>63162.94</v>
      </c>
      <c r="BH12" s="17">
        <f t="shared" si="3"/>
        <v>60010.69</v>
      </c>
      <c r="BI12" s="17">
        <v>0</v>
      </c>
      <c r="BJ12" s="17">
        <v>0</v>
      </c>
      <c r="BK12" s="17">
        <v>0</v>
      </c>
      <c r="BL12" s="17">
        <v>0</v>
      </c>
      <c r="BM12" s="17">
        <v>200</v>
      </c>
      <c r="BN12" s="17">
        <v>200</v>
      </c>
      <c r="BO12" s="17">
        <v>41</v>
      </c>
      <c r="BP12" s="17">
        <v>41</v>
      </c>
      <c r="BQ12" s="17">
        <v>0</v>
      </c>
      <c r="BR12" s="17">
        <v>0</v>
      </c>
      <c r="BS12" s="17">
        <v>0</v>
      </c>
      <c r="BT12" s="17">
        <v>0</v>
      </c>
      <c r="BU12" s="17">
        <v>300</v>
      </c>
      <c r="BV12" s="17">
        <v>50</v>
      </c>
      <c r="BW12" s="17">
        <f t="shared" si="4"/>
        <v>541</v>
      </c>
      <c r="BX12" s="17">
        <f t="shared" si="5"/>
        <v>291</v>
      </c>
      <c r="BY12" s="17">
        <f t="shared" si="6"/>
        <v>63703.94</v>
      </c>
      <c r="BZ12" s="17">
        <f t="shared" si="6"/>
        <v>60301.69</v>
      </c>
    </row>
    <row r="13" spans="1:78" ht="19.5">
      <c r="A13" s="18"/>
      <c r="B13" s="18" t="s">
        <v>51</v>
      </c>
      <c r="C13" s="17">
        <v>1140.5</v>
      </c>
      <c r="D13" s="17">
        <v>1140.5</v>
      </c>
      <c r="E13" s="19">
        <v>429</v>
      </c>
      <c r="F13" s="19">
        <v>429</v>
      </c>
      <c r="G13" s="19">
        <f>1587+2717</f>
        <v>4304</v>
      </c>
      <c r="H13" s="19">
        <f>2687.1+2717</f>
        <v>5404.1</v>
      </c>
      <c r="I13" s="19">
        <v>5586</v>
      </c>
      <c r="J13" s="19">
        <v>4120</v>
      </c>
      <c r="K13" s="17">
        <f>28.41*100</f>
        <v>2841</v>
      </c>
      <c r="L13" s="17">
        <f>28.41*100</f>
        <v>2841</v>
      </c>
      <c r="M13" s="17">
        <v>2513.25</v>
      </c>
      <c r="N13" s="17">
        <v>2513.25</v>
      </c>
      <c r="O13" s="17">
        <v>5729.81</v>
      </c>
      <c r="P13" s="17">
        <v>5729.81</v>
      </c>
      <c r="Q13" s="17">
        <v>720</v>
      </c>
      <c r="R13" s="17">
        <v>720</v>
      </c>
      <c r="S13" s="17">
        <f>3.31*100</f>
        <v>331</v>
      </c>
      <c r="T13" s="17">
        <v>373.56</v>
      </c>
      <c r="U13" s="17">
        <v>1127</v>
      </c>
      <c r="V13" s="17">
        <v>1127</v>
      </c>
      <c r="W13" s="17">
        <v>2550</v>
      </c>
      <c r="X13" s="17">
        <v>2550</v>
      </c>
      <c r="Y13" s="17">
        <f>169.49*100</f>
        <v>16949</v>
      </c>
      <c r="Z13" s="17">
        <f>169.49*100</f>
        <v>16949</v>
      </c>
      <c r="AA13" s="17">
        <f>122.66*100</f>
        <v>12266</v>
      </c>
      <c r="AB13" s="17">
        <f>122.66*100</f>
        <v>12266</v>
      </c>
      <c r="AC13" s="17">
        <v>1882.12</v>
      </c>
      <c r="AD13" s="17">
        <v>1882.12</v>
      </c>
      <c r="AE13" s="20">
        <v>10871.7</v>
      </c>
      <c r="AF13" s="20">
        <v>10871.7</v>
      </c>
      <c r="AG13" s="20">
        <v>985</v>
      </c>
      <c r="AH13" s="20">
        <v>746</v>
      </c>
      <c r="AI13" s="17">
        <v>800</v>
      </c>
      <c r="AJ13" s="17">
        <v>300</v>
      </c>
      <c r="AK13" s="17">
        <v>1395</v>
      </c>
      <c r="AL13" s="17">
        <v>1670</v>
      </c>
      <c r="AM13" s="17">
        <v>760</v>
      </c>
      <c r="AN13" s="17">
        <v>1045.86</v>
      </c>
      <c r="AO13" s="17">
        <v>2958</v>
      </c>
      <c r="AP13" s="17">
        <v>1455</v>
      </c>
      <c r="AQ13" s="17">
        <v>482.76</v>
      </c>
      <c r="AR13" s="17">
        <v>482.76</v>
      </c>
      <c r="AS13" s="17">
        <v>49.2</v>
      </c>
      <c r="AT13" s="17">
        <v>49.2</v>
      </c>
      <c r="AU13" s="17">
        <v>200</v>
      </c>
      <c r="AV13" s="17">
        <v>200</v>
      </c>
      <c r="AW13" s="17">
        <f>255.39*100</f>
        <v>25539</v>
      </c>
      <c r="AX13" s="17">
        <f>228.96*100</f>
        <v>22896</v>
      </c>
      <c r="AY13" s="17">
        <v>796.44</v>
      </c>
      <c r="AZ13" s="17">
        <v>782.98</v>
      </c>
      <c r="BA13" s="17">
        <v>924</v>
      </c>
      <c r="BB13" s="17">
        <v>544</v>
      </c>
      <c r="BC13" s="17">
        <v>501.12</v>
      </c>
      <c r="BD13" s="17">
        <v>501.12</v>
      </c>
      <c r="BE13" s="17">
        <v>13172</v>
      </c>
      <c r="BF13" s="17">
        <v>13172</v>
      </c>
      <c r="BG13" s="17">
        <f t="shared" si="3"/>
        <v>117802.9</v>
      </c>
      <c r="BH13" s="17">
        <f t="shared" si="3"/>
        <v>112761.95999999999</v>
      </c>
      <c r="BI13" s="17">
        <v>1022</v>
      </c>
      <c r="BJ13" s="17">
        <v>1022</v>
      </c>
      <c r="BK13" s="17">
        <v>3</v>
      </c>
      <c r="BL13" s="17">
        <v>3</v>
      </c>
      <c r="BM13" s="17">
        <v>0</v>
      </c>
      <c r="BN13" s="17">
        <v>0</v>
      </c>
      <c r="BO13" s="17">
        <v>208</v>
      </c>
      <c r="BP13" s="17">
        <v>208</v>
      </c>
      <c r="BQ13" s="17">
        <v>0</v>
      </c>
      <c r="BR13" s="17">
        <v>0</v>
      </c>
      <c r="BS13" s="17">
        <v>1050</v>
      </c>
      <c r="BT13" s="17">
        <v>1050</v>
      </c>
      <c r="BU13" s="17">
        <v>3600</v>
      </c>
      <c r="BV13" s="17">
        <v>6570</v>
      </c>
      <c r="BW13" s="17">
        <f t="shared" si="4"/>
        <v>5883</v>
      </c>
      <c r="BX13" s="17">
        <f t="shared" si="5"/>
        <v>8853</v>
      </c>
      <c r="BY13" s="17">
        <f t="shared" si="6"/>
        <v>123685.9</v>
      </c>
      <c r="BZ13" s="17">
        <f t="shared" si="6"/>
        <v>121614.95999999999</v>
      </c>
    </row>
    <row r="14" spans="1:78" ht="19.5">
      <c r="A14" s="18"/>
      <c r="B14" s="18" t="s">
        <v>52</v>
      </c>
      <c r="C14" s="17">
        <v>0</v>
      </c>
      <c r="D14" s="17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7">
        <v>0</v>
      </c>
      <c r="L14" s="17">
        <v>0</v>
      </c>
      <c r="M14" s="17">
        <v>0</v>
      </c>
      <c r="N14" s="17">
        <v>0</v>
      </c>
      <c r="O14" s="17">
        <v>43373</v>
      </c>
      <c r="P14" s="17">
        <v>43373</v>
      </c>
      <c r="Q14" s="17">
        <v>0</v>
      </c>
      <c r="R14" s="17">
        <v>0</v>
      </c>
      <c r="S14" s="17">
        <v>0</v>
      </c>
      <c r="T14" s="17">
        <v>0</v>
      </c>
      <c r="U14" s="17">
        <v>550</v>
      </c>
      <c r="V14" s="17">
        <v>550</v>
      </c>
      <c r="W14" s="17">
        <v>0</v>
      </c>
      <c r="X14" s="17">
        <v>0</v>
      </c>
      <c r="Y14" s="17">
        <f>3*100</f>
        <v>300</v>
      </c>
      <c r="Z14" s="17">
        <f>3*100</f>
        <v>300</v>
      </c>
      <c r="AA14" s="17">
        <v>0</v>
      </c>
      <c r="AB14" s="17">
        <v>0</v>
      </c>
      <c r="AC14" s="17">
        <v>0</v>
      </c>
      <c r="AD14" s="17">
        <v>0</v>
      </c>
      <c r="AE14" s="20">
        <v>0</v>
      </c>
      <c r="AF14" s="20">
        <v>0</v>
      </c>
      <c r="AG14" s="20">
        <v>0</v>
      </c>
      <c r="AH14" s="20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169.19</v>
      </c>
      <c r="AZ14" s="17">
        <v>100.61</v>
      </c>
      <c r="BA14" s="17">
        <v>0</v>
      </c>
      <c r="BB14" s="17">
        <v>0</v>
      </c>
      <c r="BC14" s="17">
        <v>0</v>
      </c>
      <c r="BD14" s="17">
        <v>0</v>
      </c>
      <c r="BE14" s="17">
        <v>429.7</v>
      </c>
      <c r="BF14" s="17">
        <v>429.7</v>
      </c>
      <c r="BG14" s="17">
        <f t="shared" si="3"/>
        <v>44821.89</v>
      </c>
      <c r="BH14" s="17">
        <f t="shared" si="3"/>
        <v>44753.31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f t="shared" si="4"/>
        <v>0</v>
      </c>
      <c r="BX14" s="17">
        <f t="shared" si="5"/>
        <v>0</v>
      </c>
      <c r="BY14" s="17">
        <f t="shared" si="6"/>
        <v>44821.89</v>
      </c>
      <c r="BZ14" s="17">
        <f t="shared" si="6"/>
        <v>44753.31</v>
      </c>
    </row>
    <row r="15" spans="1:78" ht="19.5">
      <c r="A15" s="18"/>
      <c r="B15" s="18" t="s">
        <v>53</v>
      </c>
      <c r="C15" s="17">
        <v>0</v>
      </c>
      <c r="D15" s="17">
        <v>0</v>
      </c>
      <c r="E15" s="19">
        <v>0</v>
      </c>
      <c r="F15" s="19">
        <v>0</v>
      </c>
      <c r="G15" s="19">
        <v>575</v>
      </c>
      <c r="H15" s="19">
        <v>550</v>
      </c>
      <c r="I15" s="19">
        <v>6500</v>
      </c>
      <c r="J15" s="19">
        <v>46500</v>
      </c>
      <c r="K15" s="17">
        <f>57.33*100</f>
        <v>5733</v>
      </c>
      <c r="L15" s="17">
        <f>57.33*100</f>
        <v>5733</v>
      </c>
      <c r="M15" s="17">
        <v>0</v>
      </c>
      <c r="N15" s="17">
        <v>0</v>
      </c>
      <c r="O15" s="17">
        <v>2300</v>
      </c>
      <c r="P15" s="17">
        <v>2300</v>
      </c>
      <c r="Q15" s="17">
        <v>0</v>
      </c>
      <c r="R15" s="17">
        <v>0</v>
      </c>
      <c r="S15" s="17">
        <v>0</v>
      </c>
      <c r="T15" s="17">
        <v>0</v>
      </c>
      <c r="U15" s="17">
        <v>130</v>
      </c>
      <c r="V15" s="17">
        <v>130</v>
      </c>
      <c r="W15" s="17">
        <v>0</v>
      </c>
      <c r="X15" s="17">
        <v>0</v>
      </c>
      <c r="Y15" s="17">
        <f>15*100</f>
        <v>1500</v>
      </c>
      <c r="Z15" s="17">
        <f>15*100</f>
        <v>1500</v>
      </c>
      <c r="AA15" s="17">
        <f>0.5*100</f>
        <v>50</v>
      </c>
      <c r="AB15" s="17">
        <f>0.5*100</f>
        <v>50</v>
      </c>
      <c r="AC15" s="17">
        <v>0</v>
      </c>
      <c r="AD15" s="17">
        <v>0</v>
      </c>
      <c r="AE15" s="20">
        <v>22428.05</v>
      </c>
      <c r="AF15" s="20">
        <v>22428.05</v>
      </c>
      <c r="AG15" s="20">
        <v>4</v>
      </c>
      <c r="AH15" s="20">
        <v>3</v>
      </c>
      <c r="AI15" s="17">
        <v>120</v>
      </c>
      <c r="AJ15" s="17">
        <v>120</v>
      </c>
      <c r="AK15" s="17">
        <v>0</v>
      </c>
      <c r="AL15" s="17">
        <v>0</v>
      </c>
      <c r="AM15" s="17">
        <v>850</v>
      </c>
      <c r="AN15" s="17">
        <v>850</v>
      </c>
      <c r="AO15" s="17">
        <v>0</v>
      </c>
      <c r="AP15" s="17">
        <v>0</v>
      </c>
      <c r="AQ15" s="17">
        <v>0</v>
      </c>
      <c r="AR15" s="17">
        <v>0</v>
      </c>
      <c r="AS15" s="17">
        <v>390</v>
      </c>
      <c r="AT15" s="17">
        <v>390</v>
      </c>
      <c r="AU15" s="17">
        <v>0</v>
      </c>
      <c r="AV15" s="17">
        <v>0</v>
      </c>
      <c r="AW15" s="17">
        <f>112.19*100</f>
        <v>11219</v>
      </c>
      <c r="AX15" s="17">
        <f>80.19*100</f>
        <v>8019</v>
      </c>
      <c r="AY15" s="17">
        <v>27.95</v>
      </c>
      <c r="AZ15" s="17">
        <v>38.32</v>
      </c>
      <c r="BA15" s="17">
        <v>0</v>
      </c>
      <c r="BB15" s="17">
        <v>0</v>
      </c>
      <c r="BC15" s="17">
        <v>0</v>
      </c>
      <c r="BD15" s="17">
        <v>0</v>
      </c>
      <c r="BE15" s="17">
        <v>2403.24</v>
      </c>
      <c r="BF15" s="17">
        <v>2403.24</v>
      </c>
      <c r="BG15" s="17">
        <f t="shared" si="3"/>
        <v>54230.24</v>
      </c>
      <c r="BH15" s="17">
        <f t="shared" si="3"/>
        <v>91014.61000000002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f t="shared" si="4"/>
        <v>0</v>
      </c>
      <c r="BX15" s="17">
        <f t="shared" si="5"/>
        <v>0</v>
      </c>
      <c r="BY15" s="17">
        <f t="shared" si="6"/>
        <v>54230.24</v>
      </c>
      <c r="BZ15" s="17">
        <f t="shared" si="6"/>
        <v>91014.61000000002</v>
      </c>
    </row>
    <row r="16" spans="1:78" ht="19.5">
      <c r="A16" s="18"/>
      <c r="B16" s="18" t="s">
        <v>54</v>
      </c>
      <c r="C16" s="17">
        <f>24000+17600+3500</f>
        <v>45100</v>
      </c>
      <c r="D16" s="17">
        <f>24000+17600+3500</f>
        <v>45100</v>
      </c>
      <c r="E16" s="19">
        <v>50</v>
      </c>
      <c r="F16" s="19">
        <v>50</v>
      </c>
      <c r="G16" s="19">
        <v>6725</v>
      </c>
      <c r="H16" s="19">
        <v>6725</v>
      </c>
      <c r="I16" s="19">
        <v>5500</v>
      </c>
      <c r="J16" s="19">
        <v>1000</v>
      </c>
      <c r="K16" s="17">
        <f>21.35*100</f>
        <v>2135</v>
      </c>
      <c r="L16" s="17">
        <f>21.35*100</f>
        <v>2135</v>
      </c>
      <c r="M16" s="17">
        <v>45.19</v>
      </c>
      <c r="N16" s="17">
        <v>45.19</v>
      </c>
      <c r="O16" s="17">
        <v>20000</v>
      </c>
      <c r="P16" s="17">
        <v>20000</v>
      </c>
      <c r="Q16" s="17">
        <v>14500</v>
      </c>
      <c r="R16" s="17">
        <v>14500</v>
      </c>
      <c r="S16" s="17">
        <f>93.87*100</f>
        <v>9387</v>
      </c>
      <c r="T16" s="17">
        <v>9387</v>
      </c>
      <c r="U16" s="17">
        <v>3039.2</v>
      </c>
      <c r="V16" s="17">
        <v>3039.2</v>
      </c>
      <c r="W16" s="17">
        <v>6000</v>
      </c>
      <c r="X16" s="17">
        <v>6000</v>
      </c>
      <c r="Y16" s="17">
        <f>135*100</f>
        <v>13500</v>
      </c>
      <c r="Z16" s="17">
        <f>135*100</f>
        <v>13500</v>
      </c>
      <c r="AA16" s="17">
        <f>47.25*100</f>
        <v>4725</v>
      </c>
      <c r="AB16" s="17">
        <f>47.25*100</f>
        <v>4725</v>
      </c>
      <c r="AC16" s="17">
        <v>4600</v>
      </c>
      <c r="AD16" s="17">
        <v>4600</v>
      </c>
      <c r="AE16" s="20">
        <v>5239.64</v>
      </c>
      <c r="AF16" s="20">
        <v>5239.64</v>
      </c>
      <c r="AG16" s="20">
        <v>20</v>
      </c>
      <c r="AH16" s="20">
        <v>20</v>
      </c>
      <c r="AI16" s="17">
        <v>100</v>
      </c>
      <c r="AJ16" s="17">
        <v>100</v>
      </c>
      <c r="AK16" s="17">
        <v>20</v>
      </c>
      <c r="AL16" s="17">
        <v>0</v>
      </c>
      <c r="AM16" s="17">
        <f>260+3</f>
        <v>263</v>
      </c>
      <c r="AN16" s="17">
        <v>263</v>
      </c>
      <c r="AO16" s="17">
        <v>874</v>
      </c>
      <c r="AP16" s="17">
        <v>974</v>
      </c>
      <c r="AQ16" s="17">
        <v>3000</v>
      </c>
      <c r="AR16" s="17">
        <v>1600</v>
      </c>
      <c r="AS16" s="17">
        <v>1276.23</v>
      </c>
      <c r="AT16" s="17">
        <v>1276.23</v>
      </c>
      <c r="AU16" s="17">
        <v>0</v>
      </c>
      <c r="AV16" s="17">
        <v>0</v>
      </c>
      <c r="AW16" s="17">
        <f>184.77*100</f>
        <v>18477</v>
      </c>
      <c r="AX16" s="17">
        <f>190.03*100</f>
        <v>19003</v>
      </c>
      <c r="AY16" s="17">
        <v>17.19</v>
      </c>
      <c r="AZ16" s="17">
        <v>22.51</v>
      </c>
      <c r="BA16" s="17">
        <v>25610</v>
      </c>
      <c r="BB16" s="17">
        <v>13573</v>
      </c>
      <c r="BC16" s="17">
        <v>3000</v>
      </c>
      <c r="BD16" s="17">
        <v>3000</v>
      </c>
      <c r="BE16" s="17">
        <v>1582</v>
      </c>
      <c r="BF16" s="17">
        <v>1582</v>
      </c>
      <c r="BG16" s="17">
        <f t="shared" si="3"/>
        <v>194785.45000000004</v>
      </c>
      <c r="BH16" s="17">
        <f t="shared" si="3"/>
        <v>177459.77000000002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1560</v>
      </c>
      <c r="BV16" s="17">
        <v>1560</v>
      </c>
      <c r="BW16" s="17">
        <f t="shared" si="4"/>
        <v>1560</v>
      </c>
      <c r="BX16" s="17">
        <f t="shared" si="5"/>
        <v>1560</v>
      </c>
      <c r="BY16" s="17">
        <f t="shared" si="6"/>
        <v>196345.45000000004</v>
      </c>
      <c r="BZ16" s="17">
        <f t="shared" si="6"/>
        <v>179019.77000000002</v>
      </c>
    </row>
    <row r="17" spans="1:78" ht="19.5">
      <c r="A17" s="18"/>
      <c r="B17" s="18" t="s">
        <v>55</v>
      </c>
      <c r="C17" s="17">
        <v>0</v>
      </c>
      <c r="D17" s="17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0.01</v>
      </c>
      <c r="P17" s="17">
        <v>0.01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f>3*100</f>
        <v>300</v>
      </c>
      <c r="Z17" s="17">
        <f>3*100</f>
        <v>300</v>
      </c>
      <c r="AA17" s="17">
        <f>1*100</f>
        <v>100</v>
      </c>
      <c r="AB17" s="17">
        <f>1*100</f>
        <v>100</v>
      </c>
      <c r="AC17" s="17">
        <v>0</v>
      </c>
      <c r="AD17" s="17">
        <v>0</v>
      </c>
      <c r="AE17" s="20">
        <v>0</v>
      </c>
      <c r="AF17" s="20">
        <v>0</v>
      </c>
      <c r="AG17" s="20">
        <v>0</v>
      </c>
      <c r="AH17" s="20">
        <v>0</v>
      </c>
      <c r="AI17" s="17">
        <v>25</v>
      </c>
      <c r="AJ17" s="17">
        <v>25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100</v>
      </c>
      <c r="AR17" s="17">
        <v>100</v>
      </c>
      <c r="AS17" s="17">
        <v>650.03</v>
      </c>
      <c r="AT17" s="17">
        <v>650.03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2500</v>
      </c>
      <c r="BF17" s="17">
        <v>2500</v>
      </c>
      <c r="BG17" s="17">
        <f t="shared" si="3"/>
        <v>3675.04</v>
      </c>
      <c r="BH17" s="17">
        <f t="shared" si="3"/>
        <v>3675.04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f t="shared" si="4"/>
        <v>0</v>
      </c>
      <c r="BX17" s="17">
        <f t="shared" si="5"/>
        <v>0</v>
      </c>
      <c r="BY17" s="17">
        <f t="shared" si="6"/>
        <v>3675.04</v>
      </c>
      <c r="BZ17" s="17">
        <f t="shared" si="6"/>
        <v>3675.04</v>
      </c>
    </row>
    <row r="18" spans="1:78" ht="19.5">
      <c r="A18" s="18"/>
      <c r="B18" s="18" t="s">
        <v>56</v>
      </c>
      <c r="C18" s="17">
        <v>4744</v>
      </c>
      <c r="D18" s="17">
        <v>4744</v>
      </c>
      <c r="E18" s="19">
        <v>392</v>
      </c>
      <c r="F18" s="19">
        <v>392</v>
      </c>
      <c r="G18" s="19">
        <v>1332</v>
      </c>
      <c r="H18" s="19">
        <v>1275</v>
      </c>
      <c r="I18" s="19">
        <v>24253.79</v>
      </c>
      <c r="J18" s="19">
        <v>82125.92</v>
      </c>
      <c r="K18" s="17">
        <f>132.71*100</f>
        <v>13271</v>
      </c>
      <c r="L18" s="17">
        <f>132.71*100</f>
        <v>13271</v>
      </c>
      <c r="M18" s="17">
        <v>1724.92</v>
      </c>
      <c r="N18" s="17">
        <v>1724.92</v>
      </c>
      <c r="O18" s="17">
        <v>7500</v>
      </c>
      <c r="P18" s="17">
        <v>7500</v>
      </c>
      <c r="Q18" s="17">
        <v>10400</v>
      </c>
      <c r="R18" s="17">
        <v>25688</v>
      </c>
      <c r="S18" s="17">
        <f>1.35*100</f>
        <v>135</v>
      </c>
      <c r="T18" s="17">
        <v>135</v>
      </c>
      <c r="U18" s="17">
        <v>838</v>
      </c>
      <c r="V18" s="17">
        <v>838</v>
      </c>
      <c r="W18" s="17">
        <v>8450.54</v>
      </c>
      <c r="X18" s="17">
        <v>14938</v>
      </c>
      <c r="Y18" s="17">
        <f>395.43*100</f>
        <v>39543</v>
      </c>
      <c r="Z18" s="17">
        <f>395.43*100</f>
        <v>39543</v>
      </c>
      <c r="AA18" s="17">
        <f>43*100</f>
        <v>4300</v>
      </c>
      <c r="AB18" s="17">
        <f>43*100</f>
        <v>4300</v>
      </c>
      <c r="AC18" s="17">
        <v>50980</v>
      </c>
      <c r="AD18" s="17">
        <v>50980</v>
      </c>
      <c r="AE18" s="20">
        <v>4816.32</v>
      </c>
      <c r="AF18" s="20">
        <v>4816.32</v>
      </c>
      <c r="AG18" s="20">
        <v>683</v>
      </c>
      <c r="AH18" s="20">
        <v>588.84</v>
      </c>
      <c r="AI18" s="17">
        <v>1250</v>
      </c>
      <c r="AJ18" s="17">
        <v>1640</v>
      </c>
      <c r="AK18" s="17">
        <v>871</v>
      </c>
      <c r="AL18" s="17">
        <v>904.23</v>
      </c>
      <c r="AM18" s="17">
        <v>790</v>
      </c>
      <c r="AN18" s="17">
        <v>790</v>
      </c>
      <c r="AO18" s="17">
        <v>10300</v>
      </c>
      <c r="AP18" s="17">
        <v>25300</v>
      </c>
      <c r="AQ18" s="17">
        <v>750</v>
      </c>
      <c r="AR18" s="17">
        <v>7887</v>
      </c>
      <c r="AS18" s="17">
        <v>1173.53</v>
      </c>
      <c r="AT18" s="17">
        <v>1173.53</v>
      </c>
      <c r="AU18" s="17">
        <v>239.07</v>
      </c>
      <c r="AV18" s="17">
        <v>239.07</v>
      </c>
      <c r="AW18" s="17">
        <f>271.92*100</f>
        <v>27192</v>
      </c>
      <c r="AX18" s="17">
        <f>234.05*100</f>
        <v>23405</v>
      </c>
      <c r="AY18" s="17">
        <v>744.29</v>
      </c>
      <c r="AZ18" s="17">
        <v>949.3</v>
      </c>
      <c r="BA18" s="17">
        <v>4480</v>
      </c>
      <c r="BB18" s="17">
        <v>4478</v>
      </c>
      <c r="BC18" s="17">
        <v>3887.43</v>
      </c>
      <c r="BD18" s="17">
        <v>3887.43</v>
      </c>
      <c r="BE18" s="17">
        <v>12568</v>
      </c>
      <c r="BF18" s="17">
        <v>12568</v>
      </c>
      <c r="BG18" s="17">
        <f t="shared" si="3"/>
        <v>237608.89</v>
      </c>
      <c r="BH18" s="17">
        <f t="shared" si="3"/>
        <v>336081.56</v>
      </c>
      <c r="BI18" s="17">
        <v>183</v>
      </c>
      <c r="BJ18" s="17">
        <v>183</v>
      </c>
      <c r="BK18" s="17">
        <v>20</v>
      </c>
      <c r="BL18" s="17">
        <v>20</v>
      </c>
      <c r="BM18" s="17">
        <v>0</v>
      </c>
      <c r="BN18" s="17">
        <v>0</v>
      </c>
      <c r="BO18" s="17">
        <v>18</v>
      </c>
      <c r="BP18" s="17">
        <v>18</v>
      </c>
      <c r="BQ18" s="17">
        <v>0</v>
      </c>
      <c r="BR18" s="17">
        <v>0</v>
      </c>
      <c r="BS18" s="17">
        <v>600</v>
      </c>
      <c r="BT18" s="17">
        <v>600</v>
      </c>
      <c r="BU18" s="17">
        <v>3100</v>
      </c>
      <c r="BV18" s="17">
        <v>2445.5</v>
      </c>
      <c r="BW18" s="17">
        <f t="shared" si="4"/>
        <v>3921</v>
      </c>
      <c r="BX18" s="17">
        <f t="shared" si="5"/>
        <v>3266.5</v>
      </c>
      <c r="BY18" s="17">
        <f t="shared" si="6"/>
        <v>241529.89</v>
      </c>
      <c r="BZ18" s="17">
        <f t="shared" si="6"/>
        <v>339348.06</v>
      </c>
    </row>
    <row r="19" spans="1:78" ht="19.5">
      <c r="A19" s="18"/>
      <c r="B19" s="18" t="s">
        <v>57</v>
      </c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W19" s="17"/>
      <c r="BX19" s="17"/>
      <c r="BY19" s="17"/>
      <c r="BZ19" s="17"/>
    </row>
    <row r="20" spans="1:78" ht="19.5">
      <c r="A20" s="18"/>
      <c r="B20" s="18" t="s">
        <v>58</v>
      </c>
      <c r="C20" s="17">
        <v>0</v>
      </c>
      <c r="D20" s="17">
        <v>0</v>
      </c>
      <c r="E20" s="19">
        <v>79</v>
      </c>
      <c r="F20" s="19">
        <v>79</v>
      </c>
      <c r="G20" s="19">
        <v>152</v>
      </c>
      <c r="H20" s="19">
        <v>149</v>
      </c>
      <c r="I20" s="19">
        <v>0</v>
      </c>
      <c r="J20" s="19">
        <v>0</v>
      </c>
      <c r="K20" s="17">
        <f>28.4*100</f>
        <v>2840</v>
      </c>
      <c r="L20" s="17">
        <f>28.4*100</f>
        <v>2840</v>
      </c>
      <c r="M20" s="17">
        <v>0.08</v>
      </c>
      <c r="N20" s="17">
        <v>0.08</v>
      </c>
      <c r="O20" s="17">
        <v>880</v>
      </c>
      <c r="P20" s="17">
        <v>880</v>
      </c>
      <c r="Q20" s="17">
        <v>0</v>
      </c>
      <c r="R20" s="17">
        <v>0</v>
      </c>
      <c r="S20" s="17">
        <v>0</v>
      </c>
      <c r="T20" s="17">
        <v>0</v>
      </c>
      <c r="U20" s="17">
        <v>1115</v>
      </c>
      <c r="V20" s="17">
        <v>1115</v>
      </c>
      <c r="W20" s="17">
        <v>0</v>
      </c>
      <c r="X20" s="17">
        <v>0</v>
      </c>
      <c r="Y20" s="17">
        <f>3.5*100</f>
        <v>350</v>
      </c>
      <c r="Z20" s="17">
        <f>3.5*100</f>
        <v>350</v>
      </c>
      <c r="AA20" s="17">
        <f>357.58*100</f>
        <v>35758</v>
      </c>
      <c r="AB20" s="17">
        <f>357.58*100</f>
        <v>35758</v>
      </c>
      <c r="AC20" s="17">
        <v>0</v>
      </c>
      <c r="AD20" s="17">
        <v>0</v>
      </c>
      <c r="AE20" s="20">
        <v>0</v>
      </c>
      <c r="AF20" s="20">
        <v>0</v>
      </c>
      <c r="AG20" s="20">
        <v>5</v>
      </c>
      <c r="AH20" s="20">
        <v>3.5</v>
      </c>
      <c r="AI20" s="17">
        <v>700</v>
      </c>
      <c r="AJ20" s="17">
        <v>700</v>
      </c>
      <c r="AK20" s="17">
        <v>0</v>
      </c>
      <c r="AL20" s="17">
        <v>0</v>
      </c>
      <c r="AM20" s="17">
        <v>0</v>
      </c>
      <c r="AN20" s="17">
        <v>0</v>
      </c>
      <c r="AO20" s="17">
        <f>1600+3+15</f>
        <v>1618</v>
      </c>
      <c r="AP20" s="17">
        <f>1520+3</f>
        <v>1523</v>
      </c>
      <c r="AQ20" s="17">
        <v>0</v>
      </c>
      <c r="AR20" s="17">
        <v>0</v>
      </c>
      <c r="AS20" s="17">
        <v>7500</v>
      </c>
      <c r="AT20" s="17">
        <v>7500</v>
      </c>
      <c r="AU20" s="17">
        <v>0</v>
      </c>
      <c r="AV20" s="17">
        <v>0</v>
      </c>
      <c r="AW20" s="17">
        <v>0</v>
      </c>
      <c r="AX20" s="17">
        <v>0</v>
      </c>
      <c r="AY20" s="17">
        <v>1153.25</v>
      </c>
      <c r="AZ20" s="17">
        <v>401.9</v>
      </c>
      <c r="BA20" s="17">
        <v>0</v>
      </c>
      <c r="BB20" s="17">
        <v>0</v>
      </c>
      <c r="BC20" s="17">
        <v>0</v>
      </c>
      <c r="BD20" s="17">
        <v>0</v>
      </c>
      <c r="BE20" s="17">
        <v>9437.76</v>
      </c>
      <c r="BF20" s="17">
        <v>9437.76</v>
      </c>
      <c r="BG20" s="17">
        <f>+C20+E20+G20+I20+K20+M20+O20+Q20+S20+U20+W20+Y20+AA20+AC20+AE20+AG20+AI20+AK20+AM20+AO20+AQ20+AS20+AU20+AW20+AY20+BA20+BC20+BE20</f>
        <v>61588.090000000004</v>
      </c>
      <c r="BH20" s="17">
        <f>+D20+F20+H20+J20+L20+N20+P20+R20+T20+V20+X20+Z20+AB20+AD20+AF20+AH20+AJ20+AL20+AN20+AP20+AR20+AT20+AV20+AX20+AZ20+BB20+BD20+BF20</f>
        <v>60737.240000000005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f>SUM(BI20+BK20+BM20+BO20+BQ20+BS20+BU20)</f>
        <v>0</v>
      </c>
      <c r="BX20" s="17">
        <f>SUM(BJ20+BL20+BN20+BP20+BR20+BT20+BV20)</f>
        <v>0</v>
      </c>
      <c r="BY20" s="17">
        <f t="shared" si="6"/>
        <v>61588.090000000004</v>
      </c>
      <c r="BZ20" s="17">
        <f t="shared" si="6"/>
        <v>60737.240000000005</v>
      </c>
    </row>
    <row r="21" spans="1:78" ht="19.5">
      <c r="A21" s="18"/>
      <c r="B21" s="18" t="s">
        <v>59</v>
      </c>
      <c r="C21" s="17">
        <v>0</v>
      </c>
      <c r="D21" s="17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7">
        <f>506*100</f>
        <v>50600</v>
      </c>
      <c r="L21" s="17">
        <f>506*100</f>
        <v>50600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f>13.65*100</f>
        <v>1365</v>
      </c>
      <c r="T21" s="17">
        <v>1365</v>
      </c>
      <c r="U21" s="17">
        <v>7184</v>
      </c>
      <c r="V21" s="17">
        <v>7184</v>
      </c>
      <c r="W21" s="17">
        <f>275+10+500+3920+11406+800+2552+450</f>
        <v>19913</v>
      </c>
      <c r="X21" s="17">
        <f>275+10+500+3920+11406+800+2552+450</f>
        <v>19913</v>
      </c>
      <c r="Y21" s="17">
        <v>0</v>
      </c>
      <c r="Z21" s="17">
        <v>0</v>
      </c>
      <c r="AA21" s="17">
        <v>0</v>
      </c>
      <c r="AB21" s="17">
        <v>0</v>
      </c>
      <c r="AC21" s="17">
        <v>7476.82</v>
      </c>
      <c r="AD21" s="17">
        <v>7476.82</v>
      </c>
      <c r="AE21" s="20">
        <v>0</v>
      </c>
      <c r="AF21" s="20">
        <v>0</v>
      </c>
      <c r="AG21" s="20">
        <v>0</v>
      </c>
      <c r="AH21" s="20">
        <v>2225</v>
      </c>
      <c r="AI21" s="17">
        <v>1348</v>
      </c>
      <c r="AJ21" s="17">
        <v>1466</v>
      </c>
      <c r="AK21" s="17">
        <v>250</v>
      </c>
      <c r="AL21" s="17">
        <v>239.9</v>
      </c>
      <c r="AM21" s="17">
        <f>700+850+300+200+150+150</f>
        <v>2350</v>
      </c>
      <c r="AN21" s="17">
        <f>1042.71+925+300+200+150+150</f>
        <v>2767.71</v>
      </c>
      <c r="AO21" s="17">
        <v>32248</v>
      </c>
      <c r="AP21" s="17">
        <v>35696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231134</v>
      </c>
      <c r="BB21" s="17">
        <v>170000</v>
      </c>
      <c r="BC21" s="17">
        <v>0</v>
      </c>
      <c r="BD21" s="17">
        <v>0</v>
      </c>
      <c r="BE21" s="17">
        <v>0</v>
      </c>
      <c r="BF21" s="17">
        <v>0</v>
      </c>
      <c r="BG21" s="17">
        <f>+C21+E21+G21+I21+K21+M21+O21+Q21+S21+U21+W21+Y21+AA21+AC21+AE21+AG21+AI21+AK21+AM21+AO21+AQ21+AS21+AU21+AW21+AY21+BA21+BC21+BE21</f>
        <v>353868.82</v>
      </c>
      <c r="BH21" s="17">
        <f>+D21+F21+H21+J21+L21+N21+P21+R21+T21+V21+X21+Z21+AB21+AD21+AF21+AH21+AJ21+AL21+AN21+AP21+AR21+AT21+AV21+AX21+AZ21+BB21+BD21+BF21</f>
        <v>298933.43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365</v>
      </c>
      <c r="BV21" s="17">
        <v>365</v>
      </c>
      <c r="BW21" s="17">
        <f>SUM(BI21+BK21+BM21+BO21+BQ21+BS21+BU21)</f>
        <v>365</v>
      </c>
      <c r="BX21" s="17">
        <f>SUM(BJ21+BL21+BN21+BP21+BR21+BT21+BV21)</f>
        <v>365</v>
      </c>
      <c r="BY21" s="17">
        <f t="shared" si="6"/>
        <v>354233.82</v>
      </c>
      <c r="BZ21" s="17">
        <f t="shared" si="6"/>
        <v>299298.43</v>
      </c>
    </row>
    <row r="22" spans="1:79" ht="19.5">
      <c r="A22" s="15"/>
      <c r="B22" s="15" t="s">
        <v>60</v>
      </c>
      <c r="C22" s="23">
        <f aca="true" t="shared" si="7" ref="C22:BZ22">SUM(C7:C21)</f>
        <v>204494.56</v>
      </c>
      <c r="D22" s="23">
        <f t="shared" si="7"/>
        <v>204494.56</v>
      </c>
      <c r="E22" s="23">
        <f t="shared" si="7"/>
        <v>8660.39</v>
      </c>
      <c r="F22" s="23">
        <f t="shared" si="7"/>
        <v>8660.39</v>
      </c>
      <c r="G22" s="23">
        <f t="shared" si="7"/>
        <v>71520.04999999999</v>
      </c>
      <c r="H22" s="23">
        <f t="shared" si="7"/>
        <v>69692.15</v>
      </c>
      <c r="I22" s="23">
        <f t="shared" si="7"/>
        <v>138662.72</v>
      </c>
      <c r="J22" s="23">
        <f t="shared" si="7"/>
        <v>222368.84999999998</v>
      </c>
      <c r="K22" s="23">
        <f t="shared" si="7"/>
        <v>162169</v>
      </c>
      <c r="L22" s="23">
        <f t="shared" si="7"/>
        <v>162169</v>
      </c>
      <c r="M22" s="23">
        <f t="shared" si="7"/>
        <v>14461.75</v>
      </c>
      <c r="N22" s="23">
        <f t="shared" si="7"/>
        <v>14461.75</v>
      </c>
      <c r="O22" s="23">
        <f t="shared" si="7"/>
        <v>257797.27000000002</v>
      </c>
      <c r="P22" s="23">
        <f t="shared" si="7"/>
        <v>257797.27000000002</v>
      </c>
      <c r="Q22" s="23">
        <f t="shared" si="7"/>
        <v>70555</v>
      </c>
      <c r="R22" s="23">
        <f t="shared" si="7"/>
        <v>88834.22</v>
      </c>
      <c r="S22" s="23">
        <f t="shared" si="7"/>
        <v>29347</v>
      </c>
      <c r="T22" s="23">
        <f t="shared" si="7"/>
        <v>29840</v>
      </c>
      <c r="U22" s="23">
        <f t="shared" si="7"/>
        <v>21787.53</v>
      </c>
      <c r="V22" s="23">
        <f t="shared" si="7"/>
        <v>21787.53</v>
      </c>
      <c r="W22" s="23">
        <f t="shared" si="7"/>
        <v>58450.54</v>
      </c>
      <c r="X22" s="23">
        <f t="shared" si="7"/>
        <v>64938</v>
      </c>
      <c r="Y22" s="23">
        <f t="shared" si="7"/>
        <v>365306</v>
      </c>
      <c r="Z22" s="23">
        <f t="shared" si="7"/>
        <v>365306</v>
      </c>
      <c r="AA22" s="23">
        <f t="shared" si="7"/>
        <v>96263</v>
      </c>
      <c r="AB22" s="23">
        <f t="shared" si="7"/>
        <v>96263</v>
      </c>
      <c r="AC22" s="23">
        <f t="shared" si="7"/>
        <v>178120.61</v>
      </c>
      <c r="AD22" s="23">
        <f t="shared" si="7"/>
        <v>178120.61</v>
      </c>
      <c r="AE22" s="23">
        <f t="shared" si="7"/>
        <v>255027.33000000005</v>
      </c>
      <c r="AF22" s="23">
        <f t="shared" si="7"/>
        <v>255027.33000000005</v>
      </c>
      <c r="AG22" s="23">
        <f t="shared" si="7"/>
        <v>9260</v>
      </c>
      <c r="AH22" s="23">
        <f t="shared" si="7"/>
        <v>6640.04</v>
      </c>
      <c r="AI22" s="23">
        <f t="shared" si="7"/>
        <v>25393</v>
      </c>
      <c r="AJ22" s="23">
        <f t="shared" si="7"/>
        <v>25180</v>
      </c>
      <c r="AK22" s="23">
        <f t="shared" si="7"/>
        <v>32155.64</v>
      </c>
      <c r="AL22" s="23">
        <f t="shared" si="7"/>
        <v>34538.75</v>
      </c>
      <c r="AM22" s="23">
        <f t="shared" si="7"/>
        <v>17530</v>
      </c>
      <c r="AN22" s="23">
        <f t="shared" si="7"/>
        <v>18473.21</v>
      </c>
      <c r="AO22" s="23">
        <f t="shared" si="7"/>
        <v>103355</v>
      </c>
      <c r="AP22" s="23">
        <f t="shared" si="7"/>
        <v>114663</v>
      </c>
      <c r="AQ22" s="23">
        <f t="shared" si="7"/>
        <v>43409.66</v>
      </c>
      <c r="AR22" s="23">
        <f t="shared" si="7"/>
        <v>33184.46</v>
      </c>
      <c r="AS22" s="23">
        <f t="shared" si="7"/>
        <v>111215.65999999997</v>
      </c>
      <c r="AT22" s="23">
        <f t="shared" si="7"/>
        <v>111215.65999999997</v>
      </c>
      <c r="AU22" s="23">
        <f t="shared" si="7"/>
        <v>3920.8</v>
      </c>
      <c r="AV22" s="23">
        <f t="shared" si="7"/>
        <v>3920.8</v>
      </c>
      <c r="AW22" s="23">
        <f t="shared" si="7"/>
        <v>203586</v>
      </c>
      <c r="AX22" s="23">
        <f t="shared" si="7"/>
        <v>205252</v>
      </c>
      <c r="AY22" s="23">
        <f t="shared" si="7"/>
        <v>18327.25</v>
      </c>
      <c r="AZ22" s="23">
        <f t="shared" si="7"/>
        <v>7489.129999999999</v>
      </c>
      <c r="BA22" s="23">
        <f t="shared" si="7"/>
        <v>471458</v>
      </c>
      <c r="BB22" s="23">
        <f t="shared" si="7"/>
        <v>338277</v>
      </c>
      <c r="BC22" s="23">
        <f t="shared" si="7"/>
        <v>52148.090000000004</v>
      </c>
      <c r="BD22" s="23">
        <f t="shared" si="7"/>
        <v>52148.090000000004</v>
      </c>
      <c r="BE22" s="23">
        <f t="shared" si="7"/>
        <v>86761.7</v>
      </c>
      <c r="BF22" s="23">
        <f t="shared" si="7"/>
        <v>86761.7</v>
      </c>
      <c r="BG22" s="23">
        <f t="shared" si="7"/>
        <v>3111143.5500000003</v>
      </c>
      <c r="BH22" s="23">
        <f t="shared" si="7"/>
        <v>3077504.5</v>
      </c>
      <c r="BI22" s="23">
        <f t="shared" si="7"/>
        <v>5731</v>
      </c>
      <c r="BJ22" s="23">
        <f t="shared" si="7"/>
        <v>5731</v>
      </c>
      <c r="BK22" s="23">
        <f t="shared" si="7"/>
        <v>56</v>
      </c>
      <c r="BL22" s="23">
        <f t="shared" si="7"/>
        <v>54</v>
      </c>
      <c r="BM22" s="23">
        <f t="shared" si="7"/>
        <v>958</v>
      </c>
      <c r="BN22" s="23">
        <f t="shared" si="7"/>
        <v>958</v>
      </c>
      <c r="BO22" s="23">
        <f t="shared" si="7"/>
        <v>1518</v>
      </c>
      <c r="BP22" s="23">
        <f t="shared" si="7"/>
        <v>1518</v>
      </c>
      <c r="BQ22" s="23">
        <f t="shared" si="7"/>
        <v>0</v>
      </c>
      <c r="BR22" s="23">
        <f t="shared" si="7"/>
        <v>0</v>
      </c>
      <c r="BS22" s="23">
        <f t="shared" si="7"/>
        <v>3250</v>
      </c>
      <c r="BT22" s="23">
        <f t="shared" si="7"/>
        <v>3250</v>
      </c>
      <c r="BU22" s="23">
        <f t="shared" si="7"/>
        <v>18933.3</v>
      </c>
      <c r="BV22" s="23">
        <f t="shared" si="7"/>
        <v>19399.53</v>
      </c>
      <c r="BW22" s="23">
        <f t="shared" si="7"/>
        <v>30446.3</v>
      </c>
      <c r="BX22" s="23">
        <f t="shared" si="7"/>
        <v>30910.53</v>
      </c>
      <c r="BY22" s="23">
        <f t="shared" si="7"/>
        <v>3141589.8500000006</v>
      </c>
      <c r="BZ22" s="23">
        <f t="shared" si="7"/>
        <v>3108415.03</v>
      </c>
      <c r="CA22" s="21"/>
    </row>
    <row r="23" spans="1:78" ht="19.5">
      <c r="A23" s="18"/>
      <c r="B23" s="18"/>
      <c r="C23" s="16"/>
      <c r="D23" s="1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4"/>
      <c r="AF23" s="24"/>
      <c r="AG23" s="24"/>
      <c r="AH23" s="24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ht="19.5">
      <c r="A24" s="15" t="s">
        <v>61</v>
      </c>
      <c r="B24" s="15" t="s">
        <v>62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F24" s="20"/>
      <c r="AG24" s="20"/>
      <c r="AH24" s="2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ht="19.5">
      <c r="A25" s="18"/>
      <c r="B25" s="18" t="s">
        <v>63</v>
      </c>
      <c r="C25" s="17">
        <v>335711.46</v>
      </c>
      <c r="D25" s="17">
        <v>335711.46</v>
      </c>
      <c r="E25" s="19">
        <f>200+300+20</f>
        <v>520</v>
      </c>
      <c r="F25" s="19">
        <f>200+300+20</f>
        <v>520</v>
      </c>
      <c r="G25" s="19">
        <v>0</v>
      </c>
      <c r="H25" s="17">
        <v>0</v>
      </c>
      <c r="I25" s="19">
        <v>1230</v>
      </c>
      <c r="J25" s="19">
        <v>1230</v>
      </c>
      <c r="K25" s="17">
        <f>23.59*100</f>
        <v>2359</v>
      </c>
      <c r="L25" s="17">
        <f>23.59*100</f>
        <v>2359</v>
      </c>
      <c r="M25" s="17">
        <v>1025</v>
      </c>
      <c r="N25" s="17">
        <v>1025</v>
      </c>
      <c r="O25" s="17">
        <v>13664.58</v>
      </c>
      <c r="P25" s="17">
        <v>13664.58</v>
      </c>
      <c r="Q25" s="17">
        <v>0</v>
      </c>
      <c r="R25" s="17">
        <v>0</v>
      </c>
      <c r="S25" s="17">
        <f>16.11*100</f>
        <v>1611</v>
      </c>
      <c r="T25" s="17">
        <f>300+235+300+776</f>
        <v>1611</v>
      </c>
      <c r="U25" s="17">
        <f>168.16+183.75+700</f>
        <v>1051.9099999999999</v>
      </c>
      <c r="V25" s="17">
        <f>168.16+183.75+700</f>
        <v>1051.9099999999999</v>
      </c>
      <c r="W25" s="17">
        <f>500+200+2000</f>
        <v>2700</v>
      </c>
      <c r="X25" s="17">
        <f>500+200+2000</f>
        <v>2700</v>
      </c>
      <c r="Y25" s="17">
        <f>514.97*100</f>
        <v>51497</v>
      </c>
      <c r="Z25" s="17">
        <f>514.97*100</f>
        <v>51497</v>
      </c>
      <c r="AA25" s="17">
        <f>281.02*100</f>
        <v>28102</v>
      </c>
      <c r="AB25" s="17">
        <f>281.02*100</f>
        <v>28102</v>
      </c>
      <c r="AC25" s="17">
        <v>46756.6</v>
      </c>
      <c r="AD25" s="17">
        <v>46756.6</v>
      </c>
      <c r="AE25" s="20">
        <f>48830.39+3216.22</f>
        <v>52046.61</v>
      </c>
      <c r="AF25" s="20">
        <f>48830.39+3216.22</f>
        <v>52046.61</v>
      </c>
      <c r="AG25" s="20">
        <f>63.53+78.52+400</f>
        <v>542.05</v>
      </c>
      <c r="AH25" s="37">
        <f>63.53+78.52+400</f>
        <v>542.05</v>
      </c>
      <c r="AI25" s="17">
        <v>0</v>
      </c>
      <c r="AJ25" s="17">
        <v>0</v>
      </c>
      <c r="AK25" s="17">
        <f>535+60</f>
        <v>595</v>
      </c>
      <c r="AL25" s="17">
        <f>532+46.77</f>
        <v>578.77</v>
      </c>
      <c r="AM25" s="17">
        <v>0</v>
      </c>
      <c r="AN25" s="17">
        <v>0</v>
      </c>
      <c r="AO25" s="17">
        <v>5400</v>
      </c>
      <c r="AP25" s="17">
        <v>3500</v>
      </c>
      <c r="AQ25" s="17">
        <v>3088.1</v>
      </c>
      <c r="AR25" s="17">
        <v>3750</v>
      </c>
      <c r="AS25" s="17">
        <f>400+3300+50+2260+888+200+26298+300+0.01+61.1+0.12+3500</f>
        <v>37257.23</v>
      </c>
      <c r="AT25" s="17">
        <f>400+3300+50+2260+888+200+26298+300+0.01+61.1+0.12+3500</f>
        <v>37257.23</v>
      </c>
      <c r="AU25" s="17">
        <v>172.98</v>
      </c>
      <c r="AV25" s="17">
        <v>172.98</v>
      </c>
      <c r="AW25" s="17">
        <f>3093.46*100</f>
        <v>309346</v>
      </c>
      <c r="AX25" s="32">
        <v>0</v>
      </c>
      <c r="AY25" s="17">
        <v>35</v>
      </c>
      <c r="AZ25" s="17">
        <v>35.44</v>
      </c>
      <c r="BA25" s="17">
        <f>27+3500+15+2103</f>
        <v>5645</v>
      </c>
      <c r="BB25" s="17">
        <f>17+489+9+1963</f>
        <v>2478</v>
      </c>
      <c r="BC25" s="17">
        <v>0</v>
      </c>
      <c r="BD25" s="17">
        <v>0</v>
      </c>
      <c r="BE25" s="17">
        <f>100+50+500</f>
        <v>650</v>
      </c>
      <c r="BF25" s="17">
        <f>100+50+500</f>
        <v>650</v>
      </c>
      <c r="BG25" s="17">
        <f>+C25+E25+G25+I25+K25+M25+O25+Q25+S25+U25+W25+Y25+AA25+AC25+AE25+AG25+AI25+AK25+AM25+AO25+AQ25+AS25+AU25+AW25+AY25+BA25+BC25+BE25</f>
        <v>901006.52</v>
      </c>
      <c r="BH25" s="17">
        <f>+D25+F25+H25+J25+L25+N25+P25+R25+T25+V25+X25+Z25+AB25+AD25+AF25+AH25+AJ25+AL25+AN25+AP25+AR25+AT25+AV25+AX25+AZ25+BB25+BD25+BF25</f>
        <v>587239.63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120</v>
      </c>
      <c r="BT25" s="17">
        <v>120</v>
      </c>
      <c r="BU25" s="17">
        <v>35</v>
      </c>
      <c r="BV25" s="17">
        <v>0</v>
      </c>
      <c r="BW25" s="17">
        <f>SUM(BI25+BK25+BM25+BO25+BQ25+BS25+BU25)</f>
        <v>155</v>
      </c>
      <c r="BX25" s="17">
        <f>SUM(BJ25+BL25+BN25+BP25+BR25+BT25+BV25)</f>
        <v>120</v>
      </c>
      <c r="BY25" s="17">
        <f aca="true" t="shared" si="8" ref="BY25:BZ35">+BW25+BG25</f>
        <v>901161.52</v>
      </c>
      <c r="BZ25" s="17">
        <f t="shared" si="8"/>
        <v>587359.63</v>
      </c>
    </row>
    <row r="26" spans="1:78" ht="19.5">
      <c r="A26" s="18"/>
      <c r="B26" s="18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F26" s="20"/>
      <c r="AG26" s="20"/>
      <c r="AH26" s="20"/>
      <c r="AI26" s="17"/>
      <c r="AJ26" s="17"/>
      <c r="AK26" s="17"/>
      <c r="AL26" s="17"/>
      <c r="AM26" s="17"/>
      <c r="AN26" s="17"/>
      <c r="AO26" s="17"/>
      <c r="AP26" s="17"/>
      <c r="AQ26" s="17">
        <v>0</v>
      </c>
      <c r="AR26" s="17">
        <v>0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ht="19.5">
      <c r="A27" s="18"/>
      <c r="B27" s="18" t="s">
        <v>65</v>
      </c>
      <c r="C27" s="17">
        <v>0</v>
      </c>
      <c r="D27" s="17">
        <v>0</v>
      </c>
      <c r="E27" s="17">
        <v>107</v>
      </c>
      <c r="F27" s="17">
        <v>107</v>
      </c>
      <c r="G27" s="17">
        <v>0</v>
      </c>
      <c r="H27" s="17">
        <v>0</v>
      </c>
      <c r="I27" s="17">
        <v>10000</v>
      </c>
      <c r="J27" s="17">
        <v>10000</v>
      </c>
      <c r="K27" s="17">
        <f>24.47*100</f>
        <v>2447</v>
      </c>
      <c r="L27" s="17">
        <f>24.47*100</f>
        <v>2447</v>
      </c>
      <c r="M27" s="17">
        <v>260</v>
      </c>
      <c r="N27" s="17">
        <v>260</v>
      </c>
      <c r="O27" s="17">
        <f>5000+500</f>
        <v>5500</v>
      </c>
      <c r="P27" s="17">
        <f>5000+500</f>
        <v>5500</v>
      </c>
      <c r="Q27" s="17">
        <v>0</v>
      </c>
      <c r="R27" s="17">
        <v>0</v>
      </c>
      <c r="S27" s="17">
        <f>0.57*100</f>
        <v>56.99999999999999</v>
      </c>
      <c r="T27" s="17">
        <v>57</v>
      </c>
      <c r="U27" s="17">
        <v>689.73</v>
      </c>
      <c r="V27" s="17">
        <v>689.73</v>
      </c>
      <c r="W27" s="17">
        <v>5500</v>
      </c>
      <c r="X27" s="17">
        <v>5500</v>
      </c>
      <c r="Y27" s="17">
        <f>24.16*100</f>
        <v>2416</v>
      </c>
      <c r="Z27" s="17">
        <f>24.16*100</f>
        <v>2416</v>
      </c>
      <c r="AA27" s="17">
        <v>0</v>
      </c>
      <c r="AB27" s="17">
        <v>0</v>
      </c>
      <c r="AC27" s="17">
        <v>5162</v>
      </c>
      <c r="AD27" s="17">
        <v>5162</v>
      </c>
      <c r="AE27" s="20">
        <v>0</v>
      </c>
      <c r="AF27" s="20">
        <v>0</v>
      </c>
      <c r="AG27" s="20">
        <v>145.19</v>
      </c>
      <c r="AH27" s="20">
        <v>145.19</v>
      </c>
      <c r="AI27" s="17">
        <v>400</v>
      </c>
      <c r="AJ27" s="17">
        <v>80</v>
      </c>
      <c r="AK27" s="17">
        <v>0</v>
      </c>
      <c r="AL27" s="17">
        <v>0</v>
      </c>
      <c r="AM27" s="17">
        <v>0</v>
      </c>
      <c r="AN27" s="17">
        <v>0</v>
      </c>
      <c r="AO27" s="17">
        <v>3000</v>
      </c>
      <c r="AP27" s="22">
        <v>4000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524.23</v>
      </c>
      <c r="AZ27" s="17">
        <v>665.78</v>
      </c>
      <c r="BA27" s="17">
        <v>16000</v>
      </c>
      <c r="BB27" s="17">
        <v>11577</v>
      </c>
      <c r="BC27" s="17">
        <v>0</v>
      </c>
      <c r="BD27" s="17">
        <v>0</v>
      </c>
      <c r="BE27" s="17">
        <v>6540</v>
      </c>
      <c r="BF27" s="17">
        <v>6540</v>
      </c>
      <c r="BG27" s="17">
        <f aca="true" t="shared" si="9" ref="BG27:BH30">+C27+E27+G27+I27+K27+M27+O27+Q27+S27+U27+W27+Y27+AA27+AC27+AE27+AG27+AI27+AK27+AM27+AO27+AQ27+AS27+AU27+AW27+AY27+BA27+BC27+BE27</f>
        <v>58748.15</v>
      </c>
      <c r="BH27" s="17">
        <f t="shared" si="9"/>
        <v>55146.7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34.98</v>
      </c>
      <c r="BV27" s="17">
        <v>50</v>
      </c>
      <c r="BW27" s="17">
        <f aca="true" t="shared" si="10" ref="BW27:BX30">SUM(BI27+BK27+BM27+BO27+BQ27+BS27+BU27)</f>
        <v>34.98</v>
      </c>
      <c r="BX27" s="17">
        <f t="shared" si="10"/>
        <v>50</v>
      </c>
      <c r="BY27" s="17">
        <f t="shared" si="8"/>
        <v>58783.130000000005</v>
      </c>
      <c r="BZ27" s="17">
        <f t="shared" si="8"/>
        <v>55196.7</v>
      </c>
    </row>
    <row r="28" spans="1:78" ht="19.5">
      <c r="A28" s="18"/>
      <c r="B28" s="18" t="s">
        <v>66</v>
      </c>
      <c r="C28" s="17">
        <v>0</v>
      </c>
      <c r="D28" s="17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/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6860.74</v>
      </c>
      <c r="V28" s="17">
        <v>6860.74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20">
        <v>0</v>
      </c>
      <c r="AF28" s="20">
        <v>0</v>
      </c>
      <c r="AG28" s="20">
        <v>0</v>
      </c>
      <c r="AH28" s="20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25</v>
      </c>
      <c r="BF28" s="17">
        <v>25</v>
      </c>
      <c r="BG28" s="17">
        <f t="shared" si="9"/>
        <v>6885.74</v>
      </c>
      <c r="BH28" s="17">
        <f t="shared" si="9"/>
        <v>6885.74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f t="shared" si="10"/>
        <v>0</v>
      </c>
      <c r="BX28" s="17">
        <f t="shared" si="10"/>
        <v>0</v>
      </c>
      <c r="BY28" s="17">
        <f t="shared" si="8"/>
        <v>6885.74</v>
      </c>
      <c r="BZ28" s="17">
        <f t="shared" si="8"/>
        <v>6885.74</v>
      </c>
    </row>
    <row r="29" spans="1:78" ht="19.5">
      <c r="A29" s="18"/>
      <c r="B29" s="18" t="s">
        <v>67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27200</v>
      </c>
      <c r="J29" s="17">
        <v>27200</v>
      </c>
      <c r="K29" s="17">
        <f>260.87*100</f>
        <v>26087</v>
      </c>
      <c r="L29" s="17">
        <f>260.87*100</f>
        <v>26087</v>
      </c>
      <c r="M29" s="17">
        <v>621</v>
      </c>
      <c r="N29" s="17">
        <v>621</v>
      </c>
      <c r="O29" s="17">
        <v>12727.12</v>
      </c>
      <c r="P29" s="17">
        <v>12727.12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10000</v>
      </c>
      <c r="X29" s="17">
        <v>10000</v>
      </c>
      <c r="Y29" s="17">
        <f>139.13*100</f>
        <v>13913</v>
      </c>
      <c r="Z29" s="17">
        <f>139.13*100</f>
        <v>13913</v>
      </c>
      <c r="AA29" s="17">
        <v>0</v>
      </c>
      <c r="AB29" s="17">
        <v>0</v>
      </c>
      <c r="AC29" s="17">
        <v>49500</v>
      </c>
      <c r="AD29" s="17">
        <v>49500</v>
      </c>
      <c r="AE29" s="20">
        <v>0</v>
      </c>
      <c r="AF29" s="20">
        <v>0</v>
      </c>
      <c r="AG29" s="20">
        <v>0</v>
      </c>
      <c r="AH29" s="20">
        <v>0</v>
      </c>
      <c r="AI29" s="17">
        <v>4900</v>
      </c>
      <c r="AJ29" s="17">
        <v>5500</v>
      </c>
      <c r="AK29" s="17">
        <v>1000</v>
      </c>
      <c r="AL29" s="17">
        <v>995</v>
      </c>
      <c r="AM29" s="17">
        <v>0</v>
      </c>
      <c r="AN29" s="17">
        <v>0</v>
      </c>
      <c r="AO29" s="17">
        <v>15000</v>
      </c>
      <c r="AP29" s="17">
        <v>17000</v>
      </c>
      <c r="AQ29" s="17">
        <v>0</v>
      </c>
      <c r="AR29" s="17">
        <v>0</v>
      </c>
      <c r="AS29" s="17">
        <v>35000</v>
      </c>
      <c r="AT29" s="17">
        <v>35000</v>
      </c>
      <c r="AU29" s="17">
        <v>500</v>
      </c>
      <c r="AV29" s="17">
        <v>500</v>
      </c>
      <c r="AW29" s="17">
        <v>0</v>
      </c>
      <c r="AX29" s="17">
        <v>0</v>
      </c>
      <c r="AY29" s="17">
        <v>3955</v>
      </c>
      <c r="AZ29" s="17">
        <v>2977.38</v>
      </c>
      <c r="BA29" s="17">
        <v>65000</v>
      </c>
      <c r="BB29" s="17">
        <v>50000</v>
      </c>
      <c r="BC29" s="17">
        <v>0</v>
      </c>
      <c r="BD29" s="17">
        <v>0</v>
      </c>
      <c r="BE29" s="17">
        <v>19525</v>
      </c>
      <c r="BF29" s="17">
        <v>19525</v>
      </c>
      <c r="BG29" s="17">
        <f t="shared" si="9"/>
        <v>284928.12</v>
      </c>
      <c r="BH29" s="17">
        <f t="shared" si="9"/>
        <v>271545.5</v>
      </c>
      <c r="BI29" s="17">
        <v>52</v>
      </c>
      <c r="BJ29" s="17">
        <v>52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0.01</v>
      </c>
      <c r="BV29" s="17">
        <v>0</v>
      </c>
      <c r="BW29" s="17">
        <f t="shared" si="10"/>
        <v>52.01</v>
      </c>
      <c r="BX29" s="17">
        <f t="shared" si="10"/>
        <v>52</v>
      </c>
      <c r="BY29" s="17">
        <f t="shared" si="8"/>
        <v>284980.13</v>
      </c>
      <c r="BZ29" s="17">
        <f t="shared" si="8"/>
        <v>271597.5</v>
      </c>
    </row>
    <row r="30" spans="1:78" ht="19.5">
      <c r="A30" s="18"/>
      <c r="B30" s="18" t="s">
        <v>68</v>
      </c>
      <c r="C30" s="17">
        <v>0</v>
      </c>
      <c r="D30" s="17">
        <v>0</v>
      </c>
      <c r="E30" s="17">
        <v>510</v>
      </c>
      <c r="F30" s="17">
        <v>510</v>
      </c>
      <c r="G30" s="17">
        <v>72527</v>
      </c>
      <c r="H30" s="17">
        <v>69187</v>
      </c>
      <c r="I30" s="17">
        <v>0</v>
      </c>
      <c r="J30" s="17"/>
      <c r="K30" s="17">
        <f>0.55*100</f>
        <v>55.00000000000001</v>
      </c>
      <c r="L30" s="17">
        <f>0.55*100</f>
        <v>55.00000000000001</v>
      </c>
      <c r="M30" s="17">
        <v>0</v>
      </c>
      <c r="N30" s="17">
        <v>0</v>
      </c>
      <c r="O30" s="17">
        <v>5000</v>
      </c>
      <c r="P30" s="17">
        <v>5000</v>
      </c>
      <c r="Q30" s="17">
        <f>11500+220</f>
        <v>11720</v>
      </c>
      <c r="R30" s="17">
        <v>12858</v>
      </c>
      <c r="S30" s="17">
        <f>165.94*100</f>
        <v>16594</v>
      </c>
      <c r="T30" s="17">
        <f>14240+514+1000+400+440</f>
        <v>16594</v>
      </c>
      <c r="U30" s="17">
        <v>0</v>
      </c>
      <c r="V30" s="17">
        <v>0</v>
      </c>
      <c r="W30" s="17">
        <f>15000+4000</f>
        <v>19000</v>
      </c>
      <c r="X30" s="17">
        <f>15000+4000</f>
        <v>19000</v>
      </c>
      <c r="Y30" s="17">
        <v>0</v>
      </c>
      <c r="Z30" s="17">
        <v>0</v>
      </c>
      <c r="AA30" s="17">
        <v>0</v>
      </c>
      <c r="AB30" s="17">
        <v>0</v>
      </c>
      <c r="AC30" s="17">
        <f>10000+4822+750+140</f>
        <v>15712</v>
      </c>
      <c r="AD30" s="17">
        <f>10000+4822+750+140</f>
        <v>15712</v>
      </c>
      <c r="AE30" s="20">
        <v>16526.57</v>
      </c>
      <c r="AF30" s="20">
        <v>16526.57</v>
      </c>
      <c r="AG30" s="20">
        <v>4209</v>
      </c>
      <c r="AH30" s="20">
        <v>1209</v>
      </c>
      <c r="AI30" s="17">
        <f>300+1000</f>
        <v>1300</v>
      </c>
      <c r="AJ30" s="17">
        <f>655+100</f>
        <v>755</v>
      </c>
      <c r="AK30" s="17">
        <v>0</v>
      </c>
      <c r="AL30" s="17">
        <v>150</v>
      </c>
      <c r="AM30" s="17">
        <v>0</v>
      </c>
      <c r="AN30" s="17">
        <v>0</v>
      </c>
      <c r="AO30" s="17">
        <v>0</v>
      </c>
      <c r="AP30" s="17">
        <v>0</v>
      </c>
      <c r="AQ30" s="17">
        <v>5000</v>
      </c>
      <c r="AR30" s="17">
        <v>4000</v>
      </c>
      <c r="AS30" s="17">
        <v>7500</v>
      </c>
      <c r="AT30" s="17">
        <v>7500</v>
      </c>
      <c r="AU30" s="17">
        <v>0</v>
      </c>
      <c r="AV30" s="17">
        <v>0</v>
      </c>
      <c r="AW30" s="17">
        <v>0</v>
      </c>
      <c r="AX30" s="17">
        <v>0</v>
      </c>
      <c r="AY30" s="17">
        <v>1.87</v>
      </c>
      <c r="AZ30" s="17">
        <v>5.16</v>
      </c>
      <c r="BA30" s="17">
        <v>1800</v>
      </c>
      <c r="BB30" s="17">
        <v>600</v>
      </c>
      <c r="BC30" s="17">
        <v>48823.92</v>
      </c>
      <c r="BD30" s="17">
        <v>48823.92</v>
      </c>
      <c r="BE30" s="17">
        <v>15000</v>
      </c>
      <c r="BF30" s="17">
        <v>15000</v>
      </c>
      <c r="BG30" s="17">
        <f t="shared" si="9"/>
        <v>241279.36</v>
      </c>
      <c r="BH30" s="17">
        <f t="shared" si="9"/>
        <v>233485.65000000002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0.01</v>
      </c>
      <c r="BV30" s="17">
        <v>0</v>
      </c>
      <c r="BW30" s="17">
        <f t="shared" si="10"/>
        <v>0.01</v>
      </c>
      <c r="BX30" s="17">
        <f t="shared" si="10"/>
        <v>0</v>
      </c>
      <c r="BY30" s="17">
        <f t="shared" si="8"/>
        <v>241279.37</v>
      </c>
      <c r="BZ30" s="17">
        <f t="shared" si="8"/>
        <v>233485.65000000002</v>
      </c>
    </row>
    <row r="31" spans="1:78" ht="19.5">
      <c r="A31" s="15"/>
      <c r="B31" s="15" t="s">
        <v>69</v>
      </c>
      <c r="C31" s="23">
        <f>SUM(C27:C30)</f>
        <v>0</v>
      </c>
      <c r="D31" s="23">
        <f>SUM(D27:D30)</f>
        <v>0</v>
      </c>
      <c r="E31" s="23">
        <f aca="true" t="shared" si="11" ref="E31:BZ31">SUM(E27:E30)</f>
        <v>617</v>
      </c>
      <c r="F31" s="23">
        <f t="shared" si="11"/>
        <v>617</v>
      </c>
      <c r="G31" s="23">
        <f t="shared" si="11"/>
        <v>72527</v>
      </c>
      <c r="H31" s="23">
        <f t="shared" si="11"/>
        <v>69187</v>
      </c>
      <c r="I31" s="23">
        <f t="shared" si="11"/>
        <v>37200</v>
      </c>
      <c r="J31" s="23">
        <f t="shared" si="11"/>
        <v>37200</v>
      </c>
      <c r="K31" s="23">
        <f t="shared" si="11"/>
        <v>28589</v>
      </c>
      <c r="L31" s="23">
        <f t="shared" si="11"/>
        <v>28589</v>
      </c>
      <c r="M31" s="23">
        <f t="shared" si="11"/>
        <v>881</v>
      </c>
      <c r="N31" s="23">
        <f t="shared" si="11"/>
        <v>881</v>
      </c>
      <c r="O31" s="23">
        <f t="shared" si="11"/>
        <v>23227.120000000003</v>
      </c>
      <c r="P31" s="23">
        <f t="shared" si="11"/>
        <v>23227.120000000003</v>
      </c>
      <c r="Q31" s="23">
        <f t="shared" si="11"/>
        <v>11720</v>
      </c>
      <c r="R31" s="23">
        <f t="shared" si="11"/>
        <v>12858</v>
      </c>
      <c r="S31" s="23">
        <f t="shared" si="11"/>
        <v>16651</v>
      </c>
      <c r="T31" s="23">
        <f t="shared" si="11"/>
        <v>16651</v>
      </c>
      <c r="U31" s="23">
        <f t="shared" si="11"/>
        <v>7550.469999999999</v>
      </c>
      <c r="V31" s="23">
        <f t="shared" si="11"/>
        <v>7550.469999999999</v>
      </c>
      <c r="W31" s="23">
        <f t="shared" si="11"/>
        <v>34500</v>
      </c>
      <c r="X31" s="23">
        <f t="shared" si="11"/>
        <v>34500</v>
      </c>
      <c r="Y31" s="23">
        <f t="shared" si="11"/>
        <v>16329</v>
      </c>
      <c r="Z31" s="23">
        <f t="shared" si="11"/>
        <v>16329</v>
      </c>
      <c r="AA31" s="23">
        <f t="shared" si="11"/>
        <v>0</v>
      </c>
      <c r="AB31" s="23">
        <f t="shared" si="11"/>
        <v>0</v>
      </c>
      <c r="AC31" s="23">
        <f t="shared" si="11"/>
        <v>70374</v>
      </c>
      <c r="AD31" s="23">
        <f t="shared" si="11"/>
        <v>70374</v>
      </c>
      <c r="AE31" s="23">
        <f t="shared" si="11"/>
        <v>16526.57</v>
      </c>
      <c r="AF31" s="23">
        <f t="shared" si="11"/>
        <v>16526.57</v>
      </c>
      <c r="AG31" s="23">
        <f t="shared" si="11"/>
        <v>4354.19</v>
      </c>
      <c r="AH31" s="23">
        <f t="shared" si="11"/>
        <v>1354.19</v>
      </c>
      <c r="AI31" s="23">
        <f t="shared" si="11"/>
        <v>6600</v>
      </c>
      <c r="AJ31" s="23">
        <f t="shared" si="11"/>
        <v>6335</v>
      </c>
      <c r="AK31" s="23">
        <f t="shared" si="11"/>
        <v>1000</v>
      </c>
      <c r="AL31" s="23">
        <f t="shared" si="11"/>
        <v>1145</v>
      </c>
      <c r="AM31" s="23">
        <f t="shared" si="11"/>
        <v>0</v>
      </c>
      <c r="AN31" s="23">
        <f t="shared" si="11"/>
        <v>0</v>
      </c>
      <c r="AO31" s="23">
        <f t="shared" si="11"/>
        <v>18000</v>
      </c>
      <c r="AP31" s="23">
        <f t="shared" si="11"/>
        <v>21000</v>
      </c>
      <c r="AQ31" s="23">
        <f t="shared" si="11"/>
        <v>5000</v>
      </c>
      <c r="AR31" s="23">
        <f t="shared" si="11"/>
        <v>4000</v>
      </c>
      <c r="AS31" s="23">
        <f t="shared" si="11"/>
        <v>42500</v>
      </c>
      <c r="AT31" s="23">
        <f t="shared" si="11"/>
        <v>42500</v>
      </c>
      <c r="AU31" s="23">
        <f t="shared" si="11"/>
        <v>500</v>
      </c>
      <c r="AV31" s="23">
        <f t="shared" si="11"/>
        <v>500</v>
      </c>
      <c r="AW31" s="23">
        <f t="shared" si="11"/>
        <v>0</v>
      </c>
      <c r="AX31" s="23">
        <f t="shared" si="11"/>
        <v>0</v>
      </c>
      <c r="AY31" s="23">
        <f t="shared" si="11"/>
        <v>4481.099999999999</v>
      </c>
      <c r="AZ31" s="23">
        <f t="shared" si="11"/>
        <v>3648.3199999999997</v>
      </c>
      <c r="BA31" s="23">
        <f t="shared" si="11"/>
        <v>82800</v>
      </c>
      <c r="BB31" s="23">
        <f t="shared" si="11"/>
        <v>62177</v>
      </c>
      <c r="BC31" s="23">
        <f t="shared" si="11"/>
        <v>48823.92</v>
      </c>
      <c r="BD31" s="23">
        <f t="shared" si="11"/>
        <v>48823.92</v>
      </c>
      <c r="BE31" s="23">
        <f t="shared" si="11"/>
        <v>41090</v>
      </c>
      <c r="BF31" s="23">
        <f t="shared" si="11"/>
        <v>41090</v>
      </c>
      <c r="BG31" s="23">
        <f t="shared" si="11"/>
        <v>591841.37</v>
      </c>
      <c r="BH31" s="23">
        <f t="shared" si="11"/>
        <v>567063.5900000001</v>
      </c>
      <c r="BI31" s="23">
        <f t="shared" si="11"/>
        <v>52</v>
      </c>
      <c r="BJ31" s="23">
        <f t="shared" si="11"/>
        <v>52</v>
      </c>
      <c r="BK31" s="23">
        <f t="shared" si="11"/>
        <v>0</v>
      </c>
      <c r="BL31" s="23">
        <f t="shared" si="11"/>
        <v>0</v>
      </c>
      <c r="BM31" s="23">
        <f t="shared" si="11"/>
        <v>0</v>
      </c>
      <c r="BN31" s="23">
        <f t="shared" si="11"/>
        <v>0</v>
      </c>
      <c r="BO31" s="23">
        <f t="shared" si="11"/>
        <v>0</v>
      </c>
      <c r="BP31" s="23">
        <f t="shared" si="11"/>
        <v>0</v>
      </c>
      <c r="BQ31" s="23">
        <f t="shared" si="11"/>
        <v>0</v>
      </c>
      <c r="BR31" s="23">
        <f t="shared" si="11"/>
        <v>0</v>
      </c>
      <c r="BS31" s="23">
        <f t="shared" si="11"/>
        <v>0</v>
      </c>
      <c r="BT31" s="23">
        <f t="shared" si="11"/>
        <v>0</v>
      </c>
      <c r="BU31" s="23">
        <f t="shared" si="11"/>
        <v>34.99999999999999</v>
      </c>
      <c r="BV31" s="23">
        <f t="shared" si="11"/>
        <v>50</v>
      </c>
      <c r="BW31" s="23">
        <f t="shared" si="11"/>
        <v>87</v>
      </c>
      <c r="BX31" s="23">
        <f t="shared" si="11"/>
        <v>102</v>
      </c>
      <c r="BY31" s="23">
        <f t="shared" si="11"/>
        <v>591928.37</v>
      </c>
      <c r="BZ31" s="23">
        <f t="shared" si="11"/>
        <v>567165.5900000001</v>
      </c>
    </row>
    <row r="32" spans="1:78" ht="19.5">
      <c r="A32" s="18"/>
      <c r="B32" s="18" t="s">
        <v>70</v>
      </c>
      <c r="C32" s="17">
        <v>7620</v>
      </c>
      <c r="D32" s="17">
        <v>7620</v>
      </c>
      <c r="E32" s="17">
        <v>450</v>
      </c>
      <c r="F32" s="17">
        <v>450</v>
      </c>
      <c r="G32" s="17">
        <v>1500.5</v>
      </c>
      <c r="H32" s="17">
        <v>911.5</v>
      </c>
      <c r="I32" s="17">
        <v>11201.27</v>
      </c>
      <c r="J32" s="17">
        <v>11093.27</v>
      </c>
      <c r="K32" s="17">
        <f>2.36*100</f>
        <v>236</v>
      </c>
      <c r="L32" s="17">
        <f>2.36*100</f>
        <v>236</v>
      </c>
      <c r="M32" s="17">
        <v>732</v>
      </c>
      <c r="N32" s="17">
        <v>732</v>
      </c>
      <c r="O32" s="17">
        <v>54438.41</v>
      </c>
      <c r="P32" s="17">
        <v>54438.41</v>
      </c>
      <c r="Q32" s="17">
        <v>1650</v>
      </c>
      <c r="R32" s="17">
        <v>200</v>
      </c>
      <c r="S32" s="17">
        <f>1.39*100</f>
        <v>139</v>
      </c>
      <c r="T32" s="17">
        <v>139</v>
      </c>
      <c r="U32" s="17">
        <v>2500</v>
      </c>
      <c r="V32" s="17">
        <v>2500</v>
      </c>
      <c r="W32" s="17">
        <v>1500</v>
      </c>
      <c r="X32" s="17">
        <v>1500</v>
      </c>
      <c r="Y32" s="17">
        <f>3.9*100</f>
        <v>390</v>
      </c>
      <c r="Z32" s="17">
        <f>3.9*100</f>
        <v>390</v>
      </c>
      <c r="AA32" s="17">
        <f>8.25*100</f>
        <v>825</v>
      </c>
      <c r="AB32" s="17">
        <f>8.25*100</f>
        <v>825</v>
      </c>
      <c r="AC32" s="17">
        <v>5403.1</v>
      </c>
      <c r="AD32" s="17">
        <v>5403.1</v>
      </c>
      <c r="AE32" s="20">
        <v>4354.01</v>
      </c>
      <c r="AF32" s="20">
        <v>4354.01</v>
      </c>
      <c r="AG32" s="20">
        <v>50</v>
      </c>
      <c r="AH32" s="20">
        <v>50</v>
      </c>
      <c r="AI32" s="17">
        <v>550</v>
      </c>
      <c r="AJ32" s="17">
        <v>550</v>
      </c>
      <c r="AK32" s="17">
        <v>378</v>
      </c>
      <c r="AL32" s="17">
        <v>373</v>
      </c>
      <c r="AM32" s="17">
        <v>175</v>
      </c>
      <c r="AN32" s="17">
        <v>175</v>
      </c>
      <c r="AO32" s="17">
        <v>9540</v>
      </c>
      <c r="AP32" s="17">
        <v>7095</v>
      </c>
      <c r="AQ32" s="17">
        <v>0</v>
      </c>
      <c r="AR32" s="17">
        <v>0</v>
      </c>
      <c r="AS32" s="17">
        <v>6963.42</v>
      </c>
      <c r="AT32" s="17">
        <v>6963.42</v>
      </c>
      <c r="AU32" s="17">
        <v>204.14</v>
      </c>
      <c r="AV32" s="17">
        <v>204.14</v>
      </c>
      <c r="AW32" s="17">
        <v>0</v>
      </c>
      <c r="AX32" s="17">
        <v>0</v>
      </c>
      <c r="AY32" s="17">
        <v>100.84</v>
      </c>
      <c r="AZ32" s="17">
        <v>98.16</v>
      </c>
      <c r="BA32" s="17">
        <v>812</v>
      </c>
      <c r="BB32" s="17">
        <v>935</v>
      </c>
      <c r="BC32" s="17">
        <v>0</v>
      </c>
      <c r="BD32" s="17">
        <v>0</v>
      </c>
      <c r="BE32" s="17">
        <v>4300</v>
      </c>
      <c r="BF32" s="17">
        <v>4300</v>
      </c>
      <c r="BG32" s="17">
        <f>+C32+E32+G32+I32+K32+M32+O32+Q32+S32+U32+W32+Y32+AA32+AC32+AE32+AG32+AI32+AK32+AM32+AO32+AQ32+AS32+AU32+AW32+AY32+BA32+BC32+BE32</f>
        <v>116012.69</v>
      </c>
      <c r="BH32" s="17">
        <f>+D32+F32+H32+J32+L32+N32+P32+R32+T32+V32+X32+Z32+AB32+AD32+AF32+AH32+AJ32+AL32+AN32+AP32+AR32+AT32+AV32+AX32+AZ32+BB32+BD32+BF32</f>
        <v>111536.01000000001</v>
      </c>
      <c r="BI32" s="17">
        <v>455</v>
      </c>
      <c r="BJ32" s="17">
        <v>455</v>
      </c>
      <c r="BK32" s="17">
        <v>0</v>
      </c>
      <c r="BL32" s="17">
        <v>0</v>
      </c>
      <c r="BM32" s="17">
        <v>8</v>
      </c>
      <c r="BN32" s="17">
        <v>8</v>
      </c>
      <c r="BO32" s="17">
        <v>44</v>
      </c>
      <c r="BP32" s="17">
        <v>44</v>
      </c>
      <c r="BQ32" s="17">
        <v>0</v>
      </c>
      <c r="BR32" s="17">
        <v>0</v>
      </c>
      <c r="BS32" s="17">
        <v>0</v>
      </c>
      <c r="BT32" s="17">
        <v>0</v>
      </c>
      <c r="BU32" s="17">
        <v>75</v>
      </c>
      <c r="BV32" s="17">
        <v>69.5</v>
      </c>
      <c r="BW32" s="17">
        <f>SUM(BI32+BK32+BM32+BO32+BQ32+BS32+BU32)</f>
        <v>582</v>
      </c>
      <c r="BX32" s="17">
        <f>SUM(BJ32+BL32+BN32+BP32+BR32+BT32+BV32)</f>
        <v>576.5</v>
      </c>
      <c r="BY32" s="17">
        <f t="shared" si="8"/>
        <v>116594.69</v>
      </c>
      <c r="BZ32" s="17">
        <f t="shared" si="8"/>
        <v>112112.51000000001</v>
      </c>
    </row>
    <row r="33" spans="1:78" ht="19.5">
      <c r="A33" s="18"/>
      <c r="B33" s="18" t="s">
        <v>71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0"/>
      <c r="AF33" s="20"/>
      <c r="AG33" s="20"/>
      <c r="AH33" s="20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78" ht="19.5">
      <c r="A34" s="18"/>
      <c r="B34" s="18" t="s">
        <v>72</v>
      </c>
      <c r="C34" s="20">
        <f>10512+34828</f>
        <v>45340</v>
      </c>
      <c r="D34" s="20">
        <f>10512+34828</f>
        <v>45340</v>
      </c>
      <c r="E34" s="19">
        <v>1385</v>
      </c>
      <c r="F34" s="19">
        <v>1385</v>
      </c>
      <c r="G34" s="19">
        <v>12229</v>
      </c>
      <c r="H34" s="19">
        <v>12229</v>
      </c>
      <c r="I34" s="19">
        <v>4669</v>
      </c>
      <c r="J34" s="19">
        <f>4669+38875.41</f>
        <v>43544.41</v>
      </c>
      <c r="K34" s="17">
        <f>123.05*100</f>
        <v>12305</v>
      </c>
      <c r="L34" s="17">
        <f>123.05*100</f>
        <v>12305</v>
      </c>
      <c r="M34" s="17">
        <v>3834</v>
      </c>
      <c r="N34" s="17">
        <v>3834</v>
      </c>
      <c r="O34" s="17">
        <v>57011.7</v>
      </c>
      <c r="P34" s="17">
        <v>57011.7</v>
      </c>
      <c r="Q34" s="17">
        <v>17000</v>
      </c>
      <c r="R34" s="17">
        <f>17000+63780</f>
        <v>80780</v>
      </c>
      <c r="S34" s="17">
        <f>52.17*100</f>
        <v>5217</v>
      </c>
      <c r="T34" s="17">
        <v>5389</v>
      </c>
      <c r="U34" s="17">
        <v>2200</v>
      </c>
      <c r="V34" s="17">
        <v>2200</v>
      </c>
      <c r="W34" s="17">
        <v>0</v>
      </c>
      <c r="X34" s="17">
        <v>0</v>
      </c>
      <c r="Y34" s="17">
        <v>0</v>
      </c>
      <c r="Z34" s="17">
        <v>0</v>
      </c>
      <c r="AA34" s="17">
        <f>172*100</f>
        <v>17200</v>
      </c>
      <c r="AB34" s="17">
        <f>172*100</f>
        <v>17200</v>
      </c>
      <c r="AC34" s="17">
        <v>72559.03</v>
      </c>
      <c r="AD34" s="17">
        <v>72559.03</v>
      </c>
      <c r="AE34" s="20">
        <v>15000</v>
      </c>
      <c r="AF34" s="20">
        <v>15000</v>
      </c>
      <c r="AG34" s="20">
        <v>201.42</v>
      </c>
      <c r="AH34" s="20">
        <v>0</v>
      </c>
      <c r="AI34" s="17">
        <v>1650</v>
      </c>
      <c r="AJ34" s="17">
        <v>2150</v>
      </c>
      <c r="AK34" s="17">
        <f>400+150</f>
        <v>550</v>
      </c>
      <c r="AL34" s="17">
        <v>1139.65</v>
      </c>
      <c r="AM34" s="17">
        <v>3019</v>
      </c>
      <c r="AN34" s="17">
        <v>3019</v>
      </c>
      <c r="AO34" s="17">
        <v>20</v>
      </c>
      <c r="AP34" s="17">
        <v>26</v>
      </c>
      <c r="AQ34" s="17">
        <v>0</v>
      </c>
      <c r="AR34" s="17">
        <v>0</v>
      </c>
      <c r="AS34" s="17">
        <v>0</v>
      </c>
      <c r="AT34" s="17">
        <v>0</v>
      </c>
      <c r="AU34" s="17">
        <v>12385.23</v>
      </c>
      <c r="AV34" s="17">
        <v>12385.23</v>
      </c>
      <c r="AW34" s="17">
        <f>116.97*100</f>
        <v>11697</v>
      </c>
      <c r="AX34" s="17">
        <f>87.63*100</f>
        <v>8763</v>
      </c>
      <c r="AY34" s="17">
        <v>2751.8</v>
      </c>
      <c r="AZ34" s="17">
        <v>4007.76</v>
      </c>
      <c r="BA34" s="17">
        <v>110050</v>
      </c>
      <c r="BB34" s="17">
        <v>260159</v>
      </c>
      <c r="BC34" s="17">
        <v>8050.11</v>
      </c>
      <c r="BD34" s="17">
        <v>8050.11</v>
      </c>
      <c r="BE34" s="17">
        <v>0</v>
      </c>
      <c r="BF34" s="17">
        <v>0</v>
      </c>
      <c r="BG34" s="17">
        <f>+C34+E34+G34+I34+K34+M34+O34+Q34+S34+U34+W34+Y34+AA34+AC34+AE34+AG34+AI34+AK34+AM34+AO34+AQ34+AS34+AU34+AW34+AY34+BA34+BC34+BE34</f>
        <v>416324.2899999999</v>
      </c>
      <c r="BH34" s="17">
        <f>+D34+F34+H34+J34+L34+N34+P34+R34+T34+V34+X34+Z34+AB34+AD34+AF34+AH34+AJ34+AL34+AN34+AP34+AR34+AT34+AV34+AX34+AZ34+BB34+BD34+BF34</f>
        <v>668476.89</v>
      </c>
      <c r="BI34" s="19">
        <v>5081</v>
      </c>
      <c r="BJ34" s="19">
        <v>5081</v>
      </c>
      <c r="BK34" s="19">
        <v>300</v>
      </c>
      <c r="BL34" s="19">
        <v>600</v>
      </c>
      <c r="BM34" s="19">
        <v>1208</v>
      </c>
      <c r="BN34" s="19">
        <v>1208</v>
      </c>
      <c r="BO34" s="19">
        <v>1218</v>
      </c>
      <c r="BP34" s="19">
        <v>1218</v>
      </c>
      <c r="BQ34" s="19">
        <v>1002</v>
      </c>
      <c r="BR34" s="19">
        <v>1002</v>
      </c>
      <c r="BS34" s="19">
        <v>400</v>
      </c>
      <c r="BT34" s="19">
        <v>400</v>
      </c>
      <c r="BU34" s="19">
        <v>5580.21</v>
      </c>
      <c r="BV34" s="19">
        <v>7766.65</v>
      </c>
      <c r="BW34" s="17">
        <f>SUM(BI34+BK34+BM34+BO34+BQ34+BS34+BU34)</f>
        <v>14789.21</v>
      </c>
      <c r="BX34" s="17">
        <f>SUM(BJ34+BL34+BN34+BP34+BR34+BT34+BV34)</f>
        <v>17275.65</v>
      </c>
      <c r="BY34" s="17">
        <f t="shared" si="8"/>
        <v>431113.49999999994</v>
      </c>
      <c r="BZ34" s="17">
        <f t="shared" si="8"/>
        <v>685752.54</v>
      </c>
    </row>
    <row r="35" spans="1:78" ht="19.5">
      <c r="A35" s="18"/>
      <c r="B35" s="18" t="s">
        <v>73</v>
      </c>
      <c r="C35" s="20">
        <f>2100+200+200+237+32900</f>
        <v>35637</v>
      </c>
      <c r="D35" s="20">
        <f>2100+200+200+237+32900</f>
        <v>35637</v>
      </c>
      <c r="E35" s="17">
        <v>467.4</v>
      </c>
      <c r="F35" s="17">
        <v>467.4</v>
      </c>
      <c r="G35" s="17">
        <v>0</v>
      </c>
      <c r="H35" s="17">
        <v>0</v>
      </c>
      <c r="I35" s="17">
        <v>35689</v>
      </c>
      <c r="J35" s="17">
        <v>0</v>
      </c>
      <c r="K35" s="17">
        <f>61.25*100</f>
        <v>6125</v>
      </c>
      <c r="L35" s="17">
        <f>61.25*100</f>
        <v>6125</v>
      </c>
      <c r="M35" s="17">
        <v>6181</v>
      </c>
      <c r="N35" s="17">
        <v>6181</v>
      </c>
      <c r="O35" s="17">
        <v>7369</v>
      </c>
      <c r="P35" s="17">
        <v>7369</v>
      </c>
      <c r="Q35" s="17">
        <v>57500</v>
      </c>
      <c r="R35" s="17">
        <v>323.9</v>
      </c>
      <c r="S35" s="17">
        <v>0</v>
      </c>
      <c r="T35" s="17">
        <v>0</v>
      </c>
      <c r="U35" s="17">
        <v>0</v>
      </c>
      <c r="V35" s="17">
        <v>0</v>
      </c>
      <c r="W35" s="17">
        <f>13645+1500+250+1250+100+34830+2670+100+1000+1300+5500+16400+21692+258+8200+100+100+100+600+6000+4000+1000+4100+6750</f>
        <v>131445</v>
      </c>
      <c r="X35" s="17">
        <f>4645+1500+250+1250+100+34830+2670+100+1000+1300+5500+16400+34192+258+8200+100+100+100+600+6000+4000+1000+4100+6750</f>
        <v>134945</v>
      </c>
      <c r="Y35" s="17">
        <f>767.76*100</f>
        <v>76776</v>
      </c>
      <c r="Z35" s="17">
        <f>767.76*100</f>
        <v>76776</v>
      </c>
      <c r="AA35" s="17">
        <v>0</v>
      </c>
      <c r="AB35" s="17">
        <v>0</v>
      </c>
      <c r="AC35" s="17">
        <v>400</v>
      </c>
      <c r="AD35" s="17">
        <v>400</v>
      </c>
      <c r="AE35" s="20">
        <v>30310.67</v>
      </c>
      <c r="AF35" s="20">
        <v>30310.67</v>
      </c>
      <c r="AG35" s="20">
        <f>275+3000+100+2299</f>
        <v>5674</v>
      </c>
      <c r="AH35" s="20">
        <f>275+1500+100+2299+101.42</f>
        <v>4275.42</v>
      </c>
      <c r="AI35" s="17">
        <f>180+5850+3901</f>
        <v>9931</v>
      </c>
      <c r="AJ35" s="17">
        <f>8030+3901+180</f>
        <v>12111</v>
      </c>
      <c r="AK35" s="17">
        <v>1387</v>
      </c>
      <c r="AL35" s="17">
        <v>100</v>
      </c>
      <c r="AM35" s="17">
        <v>60</v>
      </c>
      <c r="AN35" s="17">
        <f>3242.44+60</f>
        <v>3302.44</v>
      </c>
      <c r="AO35" s="17">
        <f>115+70</f>
        <v>185</v>
      </c>
      <c r="AP35" s="17">
        <f>115+70</f>
        <v>185</v>
      </c>
      <c r="AQ35" s="17">
        <f>43551+50000+500</f>
        <v>94051</v>
      </c>
      <c r="AR35" s="17">
        <f>24690.57+500+50000</f>
        <v>75190.57</v>
      </c>
      <c r="AS35" s="17">
        <f>2400+187220.4+2000</f>
        <v>191620.4</v>
      </c>
      <c r="AT35" s="17">
        <f>2400+187220.4+2000</f>
        <v>191620.4</v>
      </c>
      <c r="AU35" s="17">
        <f>270+1533+491.22+925+800</f>
        <v>4019.2200000000003</v>
      </c>
      <c r="AV35" s="17">
        <f>270+1533+491.22+925+800</f>
        <v>4019.2200000000003</v>
      </c>
      <c r="AW35" s="17">
        <v>0</v>
      </c>
      <c r="AX35" s="17">
        <f>2661.24*100</f>
        <v>266124</v>
      </c>
      <c r="AY35" s="17">
        <f>12.52+1321</f>
        <v>1333.52</v>
      </c>
      <c r="AZ35" s="17">
        <f>308.88+1366</f>
        <v>1674.88</v>
      </c>
      <c r="BA35" s="17">
        <v>76120</v>
      </c>
      <c r="BB35" s="17">
        <v>66150</v>
      </c>
      <c r="BC35" s="17">
        <v>0</v>
      </c>
      <c r="BD35" s="17">
        <v>0</v>
      </c>
      <c r="BE35" s="17">
        <v>97525</v>
      </c>
      <c r="BF35" s="17">
        <v>97525</v>
      </c>
      <c r="BG35" s="17">
        <f>+C35+E35+G35+I35+K35+M35+O35+Q35+S35+U35+W35+Y35+AA35+AC35+AE35+AG35+AI35+AK35+AM35+AO35+AQ35+AS35+AU35+AW35+AY35+BA35+BC35+BE35</f>
        <v>869806.21</v>
      </c>
      <c r="BH35" s="17">
        <f>+D35+F35+H35+J35+L35+N35+P35+R35+T35+V35+X35+Z35+AB35+AD35+AF35+AH35+AJ35+AL35+AN35+AP35+AR35+AT35+AV35+AX35+AZ35+BB35+BD35+BF35</f>
        <v>1020812.8999999999</v>
      </c>
      <c r="BI35" s="17">
        <v>368</v>
      </c>
      <c r="BJ35" s="17">
        <v>368</v>
      </c>
      <c r="BK35" s="23">
        <v>0</v>
      </c>
      <c r="BL35" s="23">
        <v>0</v>
      </c>
      <c r="BM35" s="23">
        <v>253</v>
      </c>
      <c r="BN35" s="23">
        <v>253</v>
      </c>
      <c r="BO35" s="23">
        <v>0</v>
      </c>
      <c r="BP35" s="23">
        <v>0</v>
      </c>
      <c r="BQ35" s="23">
        <v>15220</v>
      </c>
      <c r="BR35" s="23">
        <v>15220</v>
      </c>
      <c r="BS35" s="23">
        <v>0</v>
      </c>
      <c r="BT35" s="23">
        <v>0</v>
      </c>
      <c r="BU35" s="17">
        <v>419</v>
      </c>
      <c r="BV35" s="17">
        <v>365</v>
      </c>
      <c r="BW35" s="17">
        <f>SUM(BI35+BK35+BM35+BO35+BQ35+BS35+BU35)</f>
        <v>16260</v>
      </c>
      <c r="BX35" s="17">
        <f>SUM(BJ35+BL35+BN35+BP35+BR35+BT35+BV35)</f>
        <v>16206</v>
      </c>
      <c r="BY35" s="17">
        <f t="shared" si="8"/>
        <v>886066.21</v>
      </c>
      <c r="BZ35" s="17">
        <f t="shared" si="8"/>
        <v>1037018.8999999999</v>
      </c>
    </row>
    <row r="36" spans="1:78" ht="19.5">
      <c r="A36" s="15"/>
      <c r="B36" s="15" t="s">
        <v>74</v>
      </c>
      <c r="C36" s="23">
        <f>SUM(C34:C35)</f>
        <v>80977</v>
      </c>
      <c r="D36" s="23">
        <f>SUM(D34:D35)</f>
        <v>80977</v>
      </c>
      <c r="E36" s="23">
        <f aca="true" t="shared" si="12" ref="E36:BZ36">SUM(E34:E35)</f>
        <v>1852.4</v>
      </c>
      <c r="F36" s="23">
        <f t="shared" si="12"/>
        <v>1852.4</v>
      </c>
      <c r="G36" s="23">
        <f t="shared" si="12"/>
        <v>12229</v>
      </c>
      <c r="H36" s="23">
        <f t="shared" si="12"/>
        <v>12229</v>
      </c>
      <c r="I36" s="23">
        <f t="shared" si="12"/>
        <v>40358</v>
      </c>
      <c r="J36" s="23">
        <f t="shared" si="12"/>
        <v>43544.41</v>
      </c>
      <c r="K36" s="23">
        <f t="shared" si="12"/>
        <v>18430</v>
      </c>
      <c r="L36" s="23">
        <f t="shared" si="12"/>
        <v>18430</v>
      </c>
      <c r="M36" s="23">
        <f t="shared" si="12"/>
        <v>10015</v>
      </c>
      <c r="N36" s="23">
        <f t="shared" si="12"/>
        <v>10015</v>
      </c>
      <c r="O36" s="23">
        <f t="shared" si="12"/>
        <v>64380.7</v>
      </c>
      <c r="P36" s="23">
        <f t="shared" si="12"/>
        <v>64380.7</v>
      </c>
      <c r="Q36" s="23">
        <f t="shared" si="12"/>
        <v>74500</v>
      </c>
      <c r="R36" s="23">
        <f t="shared" si="12"/>
        <v>81103.9</v>
      </c>
      <c r="S36" s="23">
        <f t="shared" si="12"/>
        <v>5217</v>
      </c>
      <c r="T36" s="23">
        <f t="shared" si="12"/>
        <v>5389</v>
      </c>
      <c r="U36" s="23">
        <f t="shared" si="12"/>
        <v>2200</v>
      </c>
      <c r="V36" s="23">
        <f t="shared" si="12"/>
        <v>2200</v>
      </c>
      <c r="W36" s="23">
        <f t="shared" si="12"/>
        <v>131445</v>
      </c>
      <c r="X36" s="23">
        <f t="shared" si="12"/>
        <v>134945</v>
      </c>
      <c r="Y36" s="23">
        <f t="shared" si="12"/>
        <v>76776</v>
      </c>
      <c r="Z36" s="23">
        <f t="shared" si="12"/>
        <v>76776</v>
      </c>
      <c r="AA36" s="23">
        <f t="shared" si="12"/>
        <v>17200</v>
      </c>
      <c r="AB36" s="23">
        <f t="shared" si="12"/>
        <v>17200</v>
      </c>
      <c r="AC36" s="23">
        <f t="shared" si="12"/>
        <v>72959.03</v>
      </c>
      <c r="AD36" s="23">
        <f t="shared" si="12"/>
        <v>72959.03</v>
      </c>
      <c r="AE36" s="23">
        <f t="shared" si="12"/>
        <v>45310.67</v>
      </c>
      <c r="AF36" s="23">
        <f t="shared" si="12"/>
        <v>45310.67</v>
      </c>
      <c r="AG36" s="23">
        <f t="shared" si="12"/>
        <v>5875.42</v>
      </c>
      <c r="AH36" s="23">
        <f t="shared" si="12"/>
        <v>4275.42</v>
      </c>
      <c r="AI36" s="23">
        <f t="shared" si="12"/>
        <v>11581</v>
      </c>
      <c r="AJ36" s="23">
        <f t="shared" si="12"/>
        <v>14261</v>
      </c>
      <c r="AK36" s="23">
        <f t="shared" si="12"/>
        <v>1937</v>
      </c>
      <c r="AL36" s="23">
        <f t="shared" si="12"/>
        <v>1239.65</v>
      </c>
      <c r="AM36" s="23">
        <f t="shared" si="12"/>
        <v>3079</v>
      </c>
      <c r="AN36" s="23">
        <f t="shared" si="12"/>
        <v>6321.4400000000005</v>
      </c>
      <c r="AO36" s="23">
        <f t="shared" si="12"/>
        <v>205</v>
      </c>
      <c r="AP36" s="23">
        <f t="shared" si="12"/>
        <v>211</v>
      </c>
      <c r="AQ36" s="23">
        <f t="shared" si="12"/>
        <v>94051</v>
      </c>
      <c r="AR36" s="23">
        <f t="shared" si="12"/>
        <v>75190.57</v>
      </c>
      <c r="AS36" s="23">
        <f t="shared" si="12"/>
        <v>191620.4</v>
      </c>
      <c r="AT36" s="23">
        <f t="shared" si="12"/>
        <v>191620.4</v>
      </c>
      <c r="AU36" s="23">
        <f t="shared" si="12"/>
        <v>16404.45</v>
      </c>
      <c r="AV36" s="23">
        <f t="shared" si="12"/>
        <v>16404.45</v>
      </c>
      <c r="AW36" s="23">
        <f t="shared" si="12"/>
        <v>11697</v>
      </c>
      <c r="AX36" s="23">
        <f t="shared" si="12"/>
        <v>274887</v>
      </c>
      <c r="AY36" s="23">
        <f t="shared" si="12"/>
        <v>4085.32</v>
      </c>
      <c r="AZ36" s="23">
        <f t="shared" si="12"/>
        <v>5682.64</v>
      </c>
      <c r="BA36" s="23">
        <f t="shared" si="12"/>
        <v>186170</v>
      </c>
      <c r="BB36" s="23">
        <f t="shared" si="12"/>
        <v>326309</v>
      </c>
      <c r="BC36" s="23">
        <f t="shared" si="12"/>
        <v>8050.11</v>
      </c>
      <c r="BD36" s="23">
        <f t="shared" si="12"/>
        <v>8050.11</v>
      </c>
      <c r="BE36" s="23">
        <f t="shared" si="12"/>
        <v>97525</v>
      </c>
      <c r="BF36" s="23">
        <f t="shared" si="12"/>
        <v>97525</v>
      </c>
      <c r="BG36" s="23">
        <f t="shared" si="12"/>
        <v>1286130.5</v>
      </c>
      <c r="BH36" s="23">
        <f t="shared" si="12"/>
        <v>1689289.79</v>
      </c>
      <c r="BI36" s="23">
        <f t="shared" si="12"/>
        <v>5449</v>
      </c>
      <c r="BJ36" s="23">
        <f t="shared" si="12"/>
        <v>5449</v>
      </c>
      <c r="BK36" s="23">
        <f t="shared" si="12"/>
        <v>300</v>
      </c>
      <c r="BL36" s="23">
        <f t="shared" si="12"/>
        <v>600</v>
      </c>
      <c r="BM36" s="23">
        <f t="shared" si="12"/>
        <v>1461</v>
      </c>
      <c r="BN36" s="23">
        <f t="shared" si="12"/>
        <v>1461</v>
      </c>
      <c r="BO36" s="23">
        <f t="shared" si="12"/>
        <v>1218</v>
      </c>
      <c r="BP36" s="23">
        <f t="shared" si="12"/>
        <v>1218</v>
      </c>
      <c r="BQ36" s="23">
        <f t="shared" si="12"/>
        <v>16222</v>
      </c>
      <c r="BR36" s="23">
        <f t="shared" si="12"/>
        <v>16222</v>
      </c>
      <c r="BS36" s="23">
        <f t="shared" si="12"/>
        <v>400</v>
      </c>
      <c r="BT36" s="23">
        <f t="shared" si="12"/>
        <v>400</v>
      </c>
      <c r="BU36" s="23">
        <f t="shared" si="12"/>
        <v>5999.21</v>
      </c>
      <c r="BV36" s="23">
        <f t="shared" si="12"/>
        <v>8131.65</v>
      </c>
      <c r="BW36" s="23">
        <f t="shared" si="12"/>
        <v>31049.21</v>
      </c>
      <c r="BX36" s="23">
        <f t="shared" si="12"/>
        <v>33481.65</v>
      </c>
      <c r="BY36" s="23">
        <f t="shared" si="12"/>
        <v>1317179.71</v>
      </c>
      <c r="BZ36" s="23">
        <f t="shared" si="12"/>
        <v>1722771.44</v>
      </c>
    </row>
    <row r="37" spans="1:78" ht="19.5">
      <c r="A37" s="15"/>
      <c r="B37" s="15" t="s">
        <v>75</v>
      </c>
      <c r="C37" s="23">
        <f>+C25+C31+C32+C36</f>
        <v>424308.46</v>
      </c>
      <c r="D37" s="23">
        <f>+D25+D31+D32+D36</f>
        <v>424308.46</v>
      </c>
      <c r="E37" s="23">
        <f aca="true" t="shared" si="13" ref="E37:BZ37">+E25+E31+E32+E36</f>
        <v>3439.4</v>
      </c>
      <c r="F37" s="23">
        <f t="shared" si="13"/>
        <v>3439.4</v>
      </c>
      <c r="G37" s="23">
        <f t="shared" si="13"/>
        <v>86256.5</v>
      </c>
      <c r="H37" s="23">
        <f t="shared" si="13"/>
        <v>82327.5</v>
      </c>
      <c r="I37" s="23">
        <f t="shared" si="13"/>
        <v>89989.27</v>
      </c>
      <c r="J37" s="23">
        <f t="shared" si="13"/>
        <v>93067.68000000001</v>
      </c>
      <c r="K37" s="23">
        <f t="shared" si="13"/>
        <v>49614</v>
      </c>
      <c r="L37" s="23">
        <f t="shared" si="13"/>
        <v>49614</v>
      </c>
      <c r="M37" s="23">
        <f t="shared" si="13"/>
        <v>12653</v>
      </c>
      <c r="N37" s="23">
        <f t="shared" si="13"/>
        <v>12653</v>
      </c>
      <c r="O37" s="23">
        <f t="shared" si="13"/>
        <v>155710.81</v>
      </c>
      <c r="P37" s="23">
        <f t="shared" si="13"/>
        <v>155710.81</v>
      </c>
      <c r="Q37" s="23">
        <f t="shared" si="13"/>
        <v>87870</v>
      </c>
      <c r="R37" s="23">
        <f t="shared" si="13"/>
        <v>94161.9</v>
      </c>
      <c r="S37" s="23">
        <f t="shared" si="13"/>
        <v>23618</v>
      </c>
      <c r="T37" s="23">
        <f t="shared" si="13"/>
        <v>23790</v>
      </c>
      <c r="U37" s="23">
        <f t="shared" si="13"/>
        <v>13302.38</v>
      </c>
      <c r="V37" s="23">
        <f t="shared" si="13"/>
        <v>13302.38</v>
      </c>
      <c r="W37" s="23">
        <f t="shared" si="13"/>
        <v>170145</v>
      </c>
      <c r="X37" s="23">
        <f t="shared" si="13"/>
        <v>173645</v>
      </c>
      <c r="Y37" s="23">
        <f t="shared" si="13"/>
        <v>144992</v>
      </c>
      <c r="Z37" s="23">
        <f t="shared" si="13"/>
        <v>144992</v>
      </c>
      <c r="AA37" s="23">
        <f t="shared" si="13"/>
        <v>46127</v>
      </c>
      <c r="AB37" s="23">
        <f t="shared" si="13"/>
        <v>46127</v>
      </c>
      <c r="AC37" s="23">
        <f t="shared" si="13"/>
        <v>195492.73</v>
      </c>
      <c r="AD37" s="23">
        <f t="shared" si="13"/>
        <v>195492.73</v>
      </c>
      <c r="AE37" s="23">
        <f t="shared" si="13"/>
        <v>118237.85999999999</v>
      </c>
      <c r="AF37" s="23">
        <f t="shared" si="13"/>
        <v>118237.85999999999</v>
      </c>
      <c r="AG37" s="23">
        <f t="shared" si="13"/>
        <v>10821.66</v>
      </c>
      <c r="AH37" s="23">
        <f t="shared" si="13"/>
        <v>6221.66</v>
      </c>
      <c r="AI37" s="23">
        <f t="shared" si="13"/>
        <v>18731</v>
      </c>
      <c r="AJ37" s="23">
        <f t="shared" si="13"/>
        <v>21146</v>
      </c>
      <c r="AK37" s="23">
        <f t="shared" si="13"/>
        <v>3910</v>
      </c>
      <c r="AL37" s="23">
        <f t="shared" si="13"/>
        <v>3336.42</v>
      </c>
      <c r="AM37" s="23">
        <f t="shared" si="13"/>
        <v>3254</v>
      </c>
      <c r="AN37" s="23">
        <f t="shared" si="13"/>
        <v>6496.4400000000005</v>
      </c>
      <c r="AO37" s="23">
        <f t="shared" si="13"/>
        <v>33145</v>
      </c>
      <c r="AP37" s="23">
        <f t="shared" si="13"/>
        <v>31806</v>
      </c>
      <c r="AQ37" s="23">
        <f t="shared" si="13"/>
        <v>102139.1</v>
      </c>
      <c r="AR37" s="23">
        <f t="shared" si="13"/>
        <v>82940.57</v>
      </c>
      <c r="AS37" s="23">
        <f t="shared" si="13"/>
        <v>278341.05</v>
      </c>
      <c r="AT37" s="23">
        <f t="shared" si="13"/>
        <v>278341.05</v>
      </c>
      <c r="AU37" s="23">
        <f t="shared" si="13"/>
        <v>17281.57</v>
      </c>
      <c r="AV37" s="23">
        <f t="shared" si="13"/>
        <v>17281.57</v>
      </c>
      <c r="AW37" s="23">
        <f t="shared" si="13"/>
        <v>321043</v>
      </c>
      <c r="AX37" s="23">
        <f t="shared" si="13"/>
        <v>274887</v>
      </c>
      <c r="AY37" s="23">
        <f t="shared" si="13"/>
        <v>8702.26</v>
      </c>
      <c r="AZ37" s="23">
        <f t="shared" si="13"/>
        <v>9464.56</v>
      </c>
      <c r="BA37" s="23">
        <f t="shared" si="13"/>
        <v>275427</v>
      </c>
      <c r="BB37" s="23">
        <f t="shared" si="13"/>
        <v>391899</v>
      </c>
      <c r="BC37" s="23">
        <f t="shared" si="13"/>
        <v>56874.03</v>
      </c>
      <c r="BD37" s="23">
        <f t="shared" si="13"/>
        <v>56874.03</v>
      </c>
      <c r="BE37" s="23">
        <f t="shared" si="13"/>
        <v>143565</v>
      </c>
      <c r="BF37" s="23">
        <f t="shared" si="13"/>
        <v>143565</v>
      </c>
      <c r="BG37" s="23">
        <f t="shared" si="13"/>
        <v>2894991.08</v>
      </c>
      <c r="BH37" s="23">
        <f t="shared" si="13"/>
        <v>2955129.0200000005</v>
      </c>
      <c r="BI37" s="23">
        <f t="shared" si="13"/>
        <v>5956</v>
      </c>
      <c r="BJ37" s="23">
        <f t="shared" si="13"/>
        <v>5956</v>
      </c>
      <c r="BK37" s="23">
        <f t="shared" si="13"/>
        <v>300</v>
      </c>
      <c r="BL37" s="23">
        <f t="shared" si="13"/>
        <v>600</v>
      </c>
      <c r="BM37" s="23">
        <f t="shared" si="13"/>
        <v>1469</v>
      </c>
      <c r="BN37" s="23">
        <f t="shared" si="13"/>
        <v>1469</v>
      </c>
      <c r="BO37" s="23">
        <f t="shared" si="13"/>
        <v>1262</v>
      </c>
      <c r="BP37" s="23">
        <f t="shared" si="13"/>
        <v>1262</v>
      </c>
      <c r="BQ37" s="23">
        <f t="shared" si="13"/>
        <v>16222</v>
      </c>
      <c r="BR37" s="23">
        <f t="shared" si="13"/>
        <v>16222</v>
      </c>
      <c r="BS37" s="23">
        <f t="shared" si="13"/>
        <v>520</v>
      </c>
      <c r="BT37" s="23">
        <f t="shared" si="13"/>
        <v>520</v>
      </c>
      <c r="BU37" s="23">
        <f t="shared" si="13"/>
        <v>6144.21</v>
      </c>
      <c r="BV37" s="23">
        <f t="shared" si="13"/>
        <v>8251.15</v>
      </c>
      <c r="BW37" s="23">
        <f t="shared" si="13"/>
        <v>31873.21</v>
      </c>
      <c r="BX37" s="23">
        <f t="shared" si="13"/>
        <v>34280.15</v>
      </c>
      <c r="BY37" s="23">
        <f t="shared" si="13"/>
        <v>2926864.29</v>
      </c>
      <c r="BZ37" s="23">
        <f t="shared" si="13"/>
        <v>2989409.17</v>
      </c>
    </row>
    <row r="38" spans="1:78" ht="19.5">
      <c r="A38" s="18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6"/>
      <c r="AF38" s="26"/>
      <c r="AG38" s="26"/>
      <c r="AH38" s="26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ht="19.5">
      <c r="A39" s="15" t="s">
        <v>76</v>
      </c>
      <c r="B39" s="15" t="s">
        <v>77</v>
      </c>
      <c r="C39" s="23">
        <v>2500</v>
      </c>
      <c r="D39" s="23">
        <v>2500</v>
      </c>
      <c r="E39" s="23">
        <v>13715.73</v>
      </c>
      <c r="F39" s="23">
        <v>13715.73</v>
      </c>
      <c r="G39" s="23">
        <v>125723</v>
      </c>
      <c r="H39" s="23">
        <v>128238.71</v>
      </c>
      <c r="I39" s="23">
        <v>195054.5</v>
      </c>
      <c r="J39" s="23">
        <v>82180</v>
      </c>
      <c r="K39" s="23">
        <f>728.49*100</f>
        <v>72849</v>
      </c>
      <c r="L39" s="23">
        <f>728.49*100</f>
        <v>72849</v>
      </c>
      <c r="M39" s="23">
        <v>1456.25</v>
      </c>
      <c r="N39" s="23">
        <v>1456.25</v>
      </c>
      <c r="O39" s="23">
        <v>14895</v>
      </c>
      <c r="P39" s="23">
        <v>14895</v>
      </c>
      <c r="Q39" s="23">
        <v>3000</v>
      </c>
      <c r="R39" s="23">
        <v>3000</v>
      </c>
      <c r="S39" s="23">
        <f>24.01*100</f>
        <v>2401</v>
      </c>
      <c r="T39" s="23">
        <v>2401</v>
      </c>
      <c r="U39" s="23">
        <v>39022.87</v>
      </c>
      <c r="V39" s="23">
        <v>39022.87</v>
      </c>
      <c r="W39" s="23">
        <v>102555</v>
      </c>
      <c r="X39" s="23">
        <v>109745</v>
      </c>
      <c r="Y39" s="23">
        <v>52279</v>
      </c>
      <c r="Z39" s="23">
        <v>52279</v>
      </c>
      <c r="AA39" s="23">
        <f>161.51*100</f>
        <v>16151</v>
      </c>
      <c r="AB39" s="23">
        <f>161.51*100</f>
        <v>16151</v>
      </c>
      <c r="AC39" s="23">
        <v>103398</v>
      </c>
      <c r="AD39" s="23">
        <v>103398</v>
      </c>
      <c r="AE39" s="23">
        <v>18548</v>
      </c>
      <c r="AF39" s="23">
        <v>18548</v>
      </c>
      <c r="AG39" s="23">
        <v>2896</v>
      </c>
      <c r="AH39" s="23">
        <v>2937</v>
      </c>
      <c r="AI39" s="23">
        <v>2581</v>
      </c>
      <c r="AJ39" s="23">
        <v>2728</v>
      </c>
      <c r="AK39" s="23">
        <v>8459</v>
      </c>
      <c r="AL39" s="23">
        <v>8597.1</v>
      </c>
      <c r="AM39" s="23">
        <v>10080</v>
      </c>
      <c r="AN39" s="23">
        <v>10080</v>
      </c>
      <c r="AO39" s="23">
        <v>153997</v>
      </c>
      <c r="AP39" s="23">
        <v>169233</v>
      </c>
      <c r="AQ39" s="23">
        <v>0</v>
      </c>
      <c r="AR39" s="23">
        <v>0</v>
      </c>
      <c r="AS39" s="23">
        <v>12634</v>
      </c>
      <c r="AT39" s="23">
        <v>12634</v>
      </c>
      <c r="AU39" s="23">
        <v>4097</v>
      </c>
      <c r="AV39" s="23">
        <v>4097</v>
      </c>
      <c r="AW39" s="23">
        <f>184*100</f>
        <v>18400</v>
      </c>
      <c r="AX39" s="23">
        <f>184*100</f>
        <v>18400</v>
      </c>
      <c r="AY39" s="23">
        <v>13727</v>
      </c>
      <c r="AZ39" s="23">
        <v>16910.65</v>
      </c>
      <c r="BA39" s="23">
        <v>109575</v>
      </c>
      <c r="BB39" s="23">
        <v>76875</v>
      </c>
      <c r="BC39" s="23">
        <v>0</v>
      </c>
      <c r="BD39" s="23">
        <v>0</v>
      </c>
      <c r="BE39" s="23">
        <v>141362.42</v>
      </c>
      <c r="BF39" s="23">
        <v>141362.42</v>
      </c>
      <c r="BG39" s="23">
        <f>+C39+E39+G39+I39+K39+M39+O39+Q39+S39+U39+W39+Y39+AA39+AC39+AE39+AG39+AI39+AK39+AM39+AO39+AQ39+AS39+AU39+AW39+AY39+BA39+BC39+BE39</f>
        <v>1241356.77</v>
      </c>
      <c r="BH39" s="23">
        <f>+D39+F39+H39+J39+L39+N39+P39+R39+T39+V39+X39+Z39+AB39+AD39+AF39+AH39+AJ39+AL39+AN39+AP39+AR39+AT39+AV39+AX39+AZ39+BB39+BD39+BF39</f>
        <v>1124233.73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17">
        <f>SUM(BI39+BK39+BM39+BO39+BQ39+BS39+BU39)</f>
        <v>0</v>
      </c>
      <c r="BX39" s="17">
        <f>SUM(BJ39+BL39+BN39+BP39+BR39+BT39+BV39)</f>
        <v>0</v>
      </c>
      <c r="BY39" s="23">
        <f>+BW39+BG39</f>
        <v>1241356.77</v>
      </c>
      <c r="BZ39" s="23">
        <f>+BX39+BH39</f>
        <v>1124233.73</v>
      </c>
    </row>
    <row r="40" spans="1:78" ht="19.5">
      <c r="A40" s="18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6"/>
      <c r="AF40" s="26"/>
      <c r="AG40" s="26"/>
      <c r="AH40" s="26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ht="19.5">
      <c r="A41" s="15" t="s">
        <v>78</v>
      </c>
      <c r="B41" s="15" t="s">
        <v>79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6"/>
      <c r="AF41" s="26"/>
      <c r="AG41" s="26"/>
      <c r="AH41" s="26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ht="19.5">
      <c r="A42" s="18"/>
      <c r="B42" s="18" t="s">
        <v>80</v>
      </c>
      <c r="C42" s="20">
        <v>1205446.5</v>
      </c>
      <c r="D42" s="20">
        <v>1205446.5</v>
      </c>
      <c r="E42" s="17">
        <v>72</v>
      </c>
      <c r="F42" s="17">
        <v>72</v>
      </c>
      <c r="G42" s="17">
        <v>15163</v>
      </c>
      <c r="H42" s="17">
        <v>15073</v>
      </c>
      <c r="I42" s="17">
        <v>98486.09</v>
      </c>
      <c r="J42" s="17">
        <v>68486</v>
      </c>
      <c r="K42" s="17">
        <f>204.08*100</f>
        <v>20408</v>
      </c>
      <c r="L42" s="17">
        <f>204.08*100</f>
        <v>20408</v>
      </c>
      <c r="M42" s="17">
        <v>11066.4</v>
      </c>
      <c r="N42" s="17">
        <v>11066.4</v>
      </c>
      <c r="O42" s="17">
        <f>715200+92810.44</f>
        <v>808010.44</v>
      </c>
      <c r="P42" s="17">
        <f>715200+92810.44</f>
        <v>808010.44</v>
      </c>
      <c r="Q42" s="17">
        <v>60000</v>
      </c>
      <c r="R42" s="17">
        <v>75075</v>
      </c>
      <c r="S42" s="17">
        <f>101.77*100</f>
        <v>10177</v>
      </c>
      <c r="T42" s="17">
        <v>10177</v>
      </c>
      <c r="U42" s="17">
        <v>12582.46</v>
      </c>
      <c r="V42" s="17">
        <v>12582.46</v>
      </c>
      <c r="W42" s="17">
        <f>22400+12230+54000+53770</f>
        <v>142400</v>
      </c>
      <c r="X42" s="17">
        <v>22300</v>
      </c>
      <c r="Y42" s="17">
        <f>5434*100</f>
        <v>543400</v>
      </c>
      <c r="Z42" s="17">
        <f>5434*100</f>
        <v>543400</v>
      </c>
      <c r="AA42" s="27">
        <f>271.1*100</f>
        <v>27110.000000000004</v>
      </c>
      <c r="AB42" s="27">
        <f>271.1*100</f>
        <v>27110.000000000004</v>
      </c>
      <c r="AC42" s="27">
        <v>139885.26</v>
      </c>
      <c r="AD42" s="27">
        <v>139885.26</v>
      </c>
      <c r="AE42" s="20">
        <v>612400.07</v>
      </c>
      <c r="AF42" s="20">
        <v>612400.07</v>
      </c>
      <c r="AG42" s="20">
        <v>26225</v>
      </c>
      <c r="AH42" s="20">
        <v>22822.41</v>
      </c>
      <c r="AI42" s="17">
        <v>55</v>
      </c>
      <c r="AJ42" s="17">
        <v>55</v>
      </c>
      <c r="AK42" s="17">
        <v>1</v>
      </c>
      <c r="AL42" s="17">
        <v>1</v>
      </c>
      <c r="AM42" s="17">
        <v>0</v>
      </c>
      <c r="AN42" s="17">
        <v>0</v>
      </c>
      <c r="AO42" s="17">
        <v>131000</v>
      </c>
      <c r="AP42" s="17">
        <v>119954</v>
      </c>
      <c r="AQ42" s="17">
        <v>50356</v>
      </c>
      <c r="AR42" s="17">
        <v>23642.68</v>
      </c>
      <c r="AS42" s="17">
        <v>60987.12</v>
      </c>
      <c r="AT42" s="17">
        <v>60987.12</v>
      </c>
      <c r="AU42" s="17">
        <v>0</v>
      </c>
      <c r="AV42" s="17">
        <v>0</v>
      </c>
      <c r="AW42" s="17">
        <f>370.89*100</f>
        <v>37089</v>
      </c>
      <c r="AX42" s="17">
        <f>481.69*100</f>
        <v>48169</v>
      </c>
      <c r="AY42" s="17">
        <v>3815.08</v>
      </c>
      <c r="AZ42" s="17">
        <v>2388.67</v>
      </c>
      <c r="BA42" s="17">
        <v>191998</v>
      </c>
      <c r="BB42" s="17">
        <v>145000</v>
      </c>
      <c r="BC42" s="17">
        <v>29051.6</v>
      </c>
      <c r="BD42" s="17">
        <v>29051.6</v>
      </c>
      <c r="BE42" s="17">
        <v>8600.21</v>
      </c>
      <c r="BF42" s="17">
        <v>8600.21</v>
      </c>
      <c r="BG42" s="17">
        <f aca="true" t="shared" si="14" ref="BG42:BH45">+C42+E42+G42+I42+K42+M42+O42+Q42+S42+U42+W42+Y42+AA42+AC42+AE42+AG42+AI42+AK42+AM42+AO42+AQ42+AS42+AU42+AW42+AY42+BA42+BC42+BE42</f>
        <v>4245785.2299999995</v>
      </c>
      <c r="BH42" s="17">
        <f t="shared" si="14"/>
        <v>4032163.82</v>
      </c>
      <c r="BI42" s="17">
        <v>0</v>
      </c>
      <c r="BJ42" s="17">
        <v>0</v>
      </c>
      <c r="BK42" s="17">
        <v>0</v>
      </c>
      <c r="BL42" s="17">
        <v>0</v>
      </c>
      <c r="BM42" s="17">
        <v>175</v>
      </c>
      <c r="BN42" s="17">
        <v>175</v>
      </c>
      <c r="BO42" s="17">
        <v>284</v>
      </c>
      <c r="BP42" s="17">
        <v>284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f aca="true" t="shared" si="15" ref="BW42:BX45">SUM(BI42+BK42+BM42+BO42+BQ42+BS42+BU42)</f>
        <v>459</v>
      </c>
      <c r="BX42" s="17">
        <f t="shared" si="15"/>
        <v>459</v>
      </c>
      <c r="BY42" s="17">
        <f aca="true" t="shared" si="16" ref="BY42:BZ45">+BW42+BG42</f>
        <v>4246244.2299999995</v>
      </c>
      <c r="BZ42" s="17">
        <f t="shared" si="16"/>
        <v>4032622.82</v>
      </c>
    </row>
    <row r="43" spans="1:78" ht="19.5">
      <c r="A43" s="18"/>
      <c r="B43" s="18" t="s">
        <v>81</v>
      </c>
      <c r="C43" s="20">
        <v>256358</v>
      </c>
      <c r="D43" s="20">
        <v>256358</v>
      </c>
      <c r="E43" s="17">
        <v>7407.19</v>
      </c>
      <c r="F43" s="17">
        <v>7407.19</v>
      </c>
      <c r="G43" s="17">
        <v>19246</v>
      </c>
      <c r="H43" s="17">
        <v>21686</v>
      </c>
      <c r="I43" s="17">
        <v>25546.34</v>
      </c>
      <c r="J43" s="17">
        <v>16469.34</v>
      </c>
      <c r="K43" s="17">
        <f>758.36*100</f>
        <v>75836</v>
      </c>
      <c r="L43" s="17">
        <f>758.36*100</f>
        <v>75836</v>
      </c>
      <c r="M43" s="17">
        <v>6905.6</v>
      </c>
      <c r="N43" s="17">
        <v>6905.6</v>
      </c>
      <c r="O43" s="17">
        <v>114052.44</v>
      </c>
      <c r="P43" s="17">
        <v>114052.44</v>
      </c>
      <c r="Q43" s="17">
        <v>0</v>
      </c>
      <c r="R43" s="17">
        <v>0</v>
      </c>
      <c r="S43" s="17">
        <f>161.89*100</f>
        <v>16188.999999999998</v>
      </c>
      <c r="T43" s="17">
        <v>16189</v>
      </c>
      <c r="U43" s="17">
        <v>20981.99</v>
      </c>
      <c r="V43" s="17">
        <v>20981.99</v>
      </c>
      <c r="W43" s="17">
        <v>11100</v>
      </c>
      <c r="X43" s="17">
        <v>11100</v>
      </c>
      <c r="Y43" s="17">
        <f>956.76*100</f>
        <v>95676</v>
      </c>
      <c r="Z43" s="17">
        <f>956.76*100</f>
        <v>95676</v>
      </c>
      <c r="AA43" s="27">
        <f>75.33*100</f>
        <v>7533</v>
      </c>
      <c r="AB43" s="27">
        <f>75.33*100</f>
        <v>7533</v>
      </c>
      <c r="AC43" s="27">
        <v>49904.41</v>
      </c>
      <c r="AD43" s="27">
        <v>49904.41</v>
      </c>
      <c r="AE43" s="20">
        <f>94881.65+43133.09</f>
        <v>138014.74</v>
      </c>
      <c r="AF43" s="20">
        <f>94881.65+43133.09</f>
        <v>138014.74</v>
      </c>
      <c r="AG43" s="20">
        <v>6342</v>
      </c>
      <c r="AH43" s="20">
        <v>6342</v>
      </c>
      <c r="AI43" s="17">
        <v>9655</v>
      </c>
      <c r="AJ43" s="17">
        <v>9655</v>
      </c>
      <c r="AK43" s="17">
        <v>7840</v>
      </c>
      <c r="AL43" s="17">
        <v>5360</v>
      </c>
      <c r="AM43" s="17">
        <v>163</v>
      </c>
      <c r="AN43" s="17">
        <v>163</v>
      </c>
      <c r="AO43" s="17">
        <v>59240</v>
      </c>
      <c r="AP43" s="17">
        <f>26800+3200+8000+390</f>
        <v>38390</v>
      </c>
      <c r="AQ43" s="17">
        <v>14033</v>
      </c>
      <c r="AR43" s="17">
        <v>18869.5</v>
      </c>
      <c r="AS43" s="17">
        <v>25700.78</v>
      </c>
      <c r="AT43" s="17">
        <v>25700.78</v>
      </c>
      <c r="AU43" s="17">
        <v>394.96</v>
      </c>
      <c r="AV43" s="17">
        <v>394.96</v>
      </c>
      <c r="AW43" s="17">
        <f>173.83*100</f>
        <v>17383</v>
      </c>
      <c r="AX43" s="17">
        <f>91.17*100</f>
        <v>9117</v>
      </c>
      <c r="AY43" s="17">
        <v>9930.78</v>
      </c>
      <c r="AZ43" s="17">
        <v>1658.57</v>
      </c>
      <c r="BA43" s="17">
        <v>61903</v>
      </c>
      <c r="BB43" s="17">
        <v>51400</v>
      </c>
      <c r="BC43" s="17">
        <v>23495.05</v>
      </c>
      <c r="BD43" s="17">
        <v>23495.05</v>
      </c>
      <c r="BE43" s="17">
        <v>39048.02</v>
      </c>
      <c r="BF43" s="17">
        <v>39048.02</v>
      </c>
      <c r="BG43" s="17">
        <f t="shared" si="14"/>
        <v>1119879.3</v>
      </c>
      <c r="BH43" s="17">
        <f t="shared" si="14"/>
        <v>1067707.59</v>
      </c>
      <c r="BI43" s="17">
        <v>239</v>
      </c>
      <c r="BJ43" s="17">
        <v>239</v>
      </c>
      <c r="BK43" s="17">
        <v>20</v>
      </c>
      <c r="BL43" s="17">
        <v>39</v>
      </c>
      <c r="BM43" s="17">
        <v>1011</v>
      </c>
      <c r="BN43" s="17">
        <v>1011</v>
      </c>
      <c r="BO43" s="17">
        <v>20</v>
      </c>
      <c r="BP43" s="17">
        <v>20</v>
      </c>
      <c r="BQ43" s="17">
        <v>5</v>
      </c>
      <c r="BR43" s="17">
        <v>5</v>
      </c>
      <c r="BS43" s="17">
        <v>0</v>
      </c>
      <c r="BT43" s="17">
        <v>0</v>
      </c>
      <c r="BU43" s="17">
        <v>2015</v>
      </c>
      <c r="BV43" s="17">
        <v>1492.73</v>
      </c>
      <c r="BW43" s="17">
        <f t="shared" si="15"/>
        <v>3310</v>
      </c>
      <c r="BX43" s="17">
        <f t="shared" si="15"/>
        <v>2806.73</v>
      </c>
      <c r="BY43" s="17">
        <f t="shared" si="16"/>
        <v>1123189.3</v>
      </c>
      <c r="BZ43" s="17">
        <f t="shared" si="16"/>
        <v>1070514.32</v>
      </c>
    </row>
    <row r="44" spans="1:78" ht="19.5">
      <c r="A44" s="18"/>
      <c r="B44" s="18" t="s">
        <v>82</v>
      </c>
      <c r="C44" s="20">
        <v>2652.5</v>
      </c>
      <c r="D44" s="20">
        <v>2652.5</v>
      </c>
      <c r="E44" s="17">
        <v>300</v>
      </c>
      <c r="F44" s="17">
        <v>300</v>
      </c>
      <c r="G44" s="17">
        <v>1928</v>
      </c>
      <c r="H44" s="17">
        <v>1736</v>
      </c>
      <c r="I44" s="17">
        <v>9000</v>
      </c>
      <c r="J44" s="17">
        <f>1500+2537.8</f>
        <v>4037.8</v>
      </c>
      <c r="K44" s="17">
        <f>21.96*100</f>
        <v>2196</v>
      </c>
      <c r="L44" s="17">
        <f>21.96*100</f>
        <v>2196</v>
      </c>
      <c r="M44" s="17">
        <v>692</v>
      </c>
      <c r="N44" s="17">
        <v>692</v>
      </c>
      <c r="O44" s="17">
        <v>1362.74</v>
      </c>
      <c r="P44" s="17">
        <v>1362.74</v>
      </c>
      <c r="Q44" s="17">
        <v>9000</v>
      </c>
      <c r="R44" s="17">
        <v>9000</v>
      </c>
      <c r="S44" s="17">
        <f>10*100</f>
        <v>1000</v>
      </c>
      <c r="T44" s="17">
        <v>1000</v>
      </c>
      <c r="U44" s="17">
        <v>1800</v>
      </c>
      <c r="V44" s="17">
        <v>1800</v>
      </c>
      <c r="W44" s="17">
        <v>200</v>
      </c>
      <c r="X44" s="17">
        <v>200</v>
      </c>
      <c r="Y44" s="17">
        <f>438.15*100</f>
        <v>43815</v>
      </c>
      <c r="Z44" s="17">
        <f>438.15*100</f>
        <v>43815</v>
      </c>
      <c r="AA44" s="27">
        <f>4.25*100</f>
        <v>425</v>
      </c>
      <c r="AB44" s="27">
        <f>4.25*100</f>
        <v>425</v>
      </c>
      <c r="AC44" s="27">
        <v>1825</v>
      </c>
      <c r="AD44" s="27">
        <v>1825</v>
      </c>
      <c r="AE44" s="20">
        <v>4400</v>
      </c>
      <c r="AF44" s="20">
        <v>4400</v>
      </c>
      <c r="AG44" s="20">
        <v>1700</v>
      </c>
      <c r="AH44" s="20">
        <v>2627.02</v>
      </c>
      <c r="AI44" s="17">
        <v>55</v>
      </c>
      <c r="AJ44" s="17">
        <v>55</v>
      </c>
      <c r="AK44" s="17">
        <v>15</v>
      </c>
      <c r="AL44" s="17">
        <v>15</v>
      </c>
      <c r="AM44" s="17">
        <v>100</v>
      </c>
      <c r="AN44" s="17">
        <v>100</v>
      </c>
      <c r="AO44" s="17">
        <v>7600</v>
      </c>
      <c r="AP44" s="17">
        <v>7000</v>
      </c>
      <c r="AQ44" s="17">
        <v>25500</v>
      </c>
      <c r="AR44" s="17">
        <v>21390.42</v>
      </c>
      <c r="AS44" s="17">
        <v>10200.24</v>
      </c>
      <c r="AT44" s="17">
        <v>10200.24</v>
      </c>
      <c r="AU44" s="17">
        <v>55</v>
      </c>
      <c r="AV44" s="17">
        <v>55</v>
      </c>
      <c r="AW44" s="17">
        <f>24.67*100</f>
        <v>2467</v>
      </c>
      <c r="AX44" s="17">
        <f>31.85*100</f>
        <v>3185</v>
      </c>
      <c r="AY44" s="17">
        <v>50</v>
      </c>
      <c r="AZ44" s="17">
        <v>944.41</v>
      </c>
      <c r="BA44" s="17">
        <v>29478</v>
      </c>
      <c r="BB44" s="17">
        <v>14299</v>
      </c>
      <c r="BC44" s="17">
        <v>0</v>
      </c>
      <c r="BD44" s="17">
        <v>0</v>
      </c>
      <c r="BE44" s="17">
        <v>2400</v>
      </c>
      <c r="BF44" s="17">
        <v>2400</v>
      </c>
      <c r="BG44" s="17">
        <f t="shared" si="14"/>
        <v>160216.48</v>
      </c>
      <c r="BH44" s="17">
        <f t="shared" si="14"/>
        <v>137713.13</v>
      </c>
      <c r="BI44" s="17">
        <v>0</v>
      </c>
      <c r="BJ44" s="17">
        <v>0</v>
      </c>
      <c r="BK44" s="17">
        <v>0</v>
      </c>
      <c r="BL44" s="17">
        <v>0</v>
      </c>
      <c r="BM44" s="17">
        <v>350</v>
      </c>
      <c r="BN44" s="17">
        <v>350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20">
        <v>3000</v>
      </c>
      <c r="BV44" s="20">
        <v>0</v>
      </c>
      <c r="BW44" s="17">
        <f t="shared" si="15"/>
        <v>3350</v>
      </c>
      <c r="BX44" s="17">
        <f t="shared" si="15"/>
        <v>350</v>
      </c>
      <c r="BY44" s="17">
        <f t="shared" si="16"/>
        <v>163566.48</v>
      </c>
      <c r="BZ44" s="17">
        <f t="shared" si="16"/>
        <v>138063.13</v>
      </c>
    </row>
    <row r="45" spans="1:78" ht="19.5">
      <c r="A45" s="18"/>
      <c r="B45" s="18" t="s">
        <v>83</v>
      </c>
      <c r="C45" s="20">
        <v>32506</v>
      </c>
      <c r="D45" s="20">
        <v>32506</v>
      </c>
      <c r="E45" s="17">
        <v>3976</v>
      </c>
      <c r="F45" s="17">
        <v>3976</v>
      </c>
      <c r="G45" s="17">
        <f>12168+52719.25</f>
        <v>64887.25</v>
      </c>
      <c r="H45" s="17">
        <f>52969.25+12168</f>
        <v>65137.25</v>
      </c>
      <c r="I45" s="17">
        <f>94151.33+4237.8</f>
        <v>98389.13</v>
      </c>
      <c r="J45" s="17">
        <v>83639.42</v>
      </c>
      <c r="K45" s="17">
        <f>7.5*100+104970</f>
        <v>105720</v>
      </c>
      <c r="L45" s="17">
        <f>7.5*100+104970</f>
        <v>105720</v>
      </c>
      <c r="M45" s="27">
        <v>7995</v>
      </c>
      <c r="N45" s="27">
        <v>7995</v>
      </c>
      <c r="O45" s="27">
        <v>9331.18</v>
      </c>
      <c r="P45" s="27">
        <v>9331.18</v>
      </c>
      <c r="Q45" s="17">
        <v>10000</v>
      </c>
      <c r="R45" s="17">
        <v>14425</v>
      </c>
      <c r="S45" s="17">
        <v>9253</v>
      </c>
      <c r="T45" s="17">
        <v>9253</v>
      </c>
      <c r="U45" s="17">
        <v>9666.19</v>
      </c>
      <c r="V45" s="17">
        <v>9666.19</v>
      </c>
      <c r="W45" s="17">
        <f>1300+500</f>
        <v>1800</v>
      </c>
      <c r="X45" s="17">
        <f>12100+20770+1300+500+2230</f>
        <v>36900</v>
      </c>
      <c r="Y45" s="17">
        <f>14.5*100</f>
        <v>1450</v>
      </c>
      <c r="Z45" s="17">
        <f>14.5*100</f>
        <v>1450</v>
      </c>
      <c r="AA45" s="27">
        <f>200.35*100</f>
        <v>20035</v>
      </c>
      <c r="AB45" s="27">
        <f>200.35*100</f>
        <v>20035</v>
      </c>
      <c r="AC45" s="27">
        <f>1100+111950</f>
        <v>113050</v>
      </c>
      <c r="AD45" s="27">
        <f>1100+111950</f>
        <v>113050</v>
      </c>
      <c r="AE45" s="20">
        <v>2902.4</v>
      </c>
      <c r="AF45" s="20">
        <v>2902.4</v>
      </c>
      <c r="AG45" s="20">
        <f>8862+860</f>
        <v>9722</v>
      </c>
      <c r="AH45" s="20">
        <f>8362+5233</f>
        <v>13595</v>
      </c>
      <c r="AI45" s="17">
        <f>275+500+2300</f>
        <v>3075</v>
      </c>
      <c r="AJ45" s="17">
        <f>500+275+2300</f>
        <v>3075</v>
      </c>
      <c r="AK45" s="17">
        <v>0</v>
      </c>
      <c r="AL45" s="17">
        <v>0</v>
      </c>
      <c r="AM45" s="17">
        <f>500+14000</f>
        <v>14500</v>
      </c>
      <c r="AN45" s="17">
        <f>14000+600</f>
        <v>14600</v>
      </c>
      <c r="AO45" s="17">
        <v>27000</v>
      </c>
      <c r="AP45" s="17">
        <v>18875</v>
      </c>
      <c r="AQ45" s="17">
        <v>13147</v>
      </c>
      <c r="AR45" s="17">
        <v>10399</v>
      </c>
      <c r="AS45" s="17">
        <v>200</v>
      </c>
      <c r="AT45" s="17">
        <v>200</v>
      </c>
      <c r="AU45" s="17">
        <f>9674+4268</f>
        <v>13942</v>
      </c>
      <c r="AV45" s="17">
        <f>9674+4268</f>
        <v>13942</v>
      </c>
      <c r="AW45" s="17">
        <f>182.8*100</f>
        <v>18280</v>
      </c>
      <c r="AX45" s="17">
        <f>27.62*100</f>
        <v>2762</v>
      </c>
      <c r="AY45" s="17">
        <v>3692.14</v>
      </c>
      <c r="AZ45" s="17">
        <v>1099.71</v>
      </c>
      <c r="BA45" s="17">
        <v>53500</v>
      </c>
      <c r="BB45" s="17">
        <v>30000</v>
      </c>
      <c r="BC45" s="17">
        <v>1050.01</v>
      </c>
      <c r="BD45" s="17">
        <v>1050.01</v>
      </c>
      <c r="BE45" s="17">
        <f>107400+32824.79</f>
        <v>140224.79</v>
      </c>
      <c r="BF45" s="17">
        <f>107400+32824.79</f>
        <v>140224.79</v>
      </c>
      <c r="BG45" s="17">
        <f t="shared" si="14"/>
        <v>789294.0900000001</v>
      </c>
      <c r="BH45" s="17">
        <f t="shared" si="14"/>
        <v>765808.95</v>
      </c>
      <c r="BI45" s="17">
        <v>1523</v>
      </c>
      <c r="BJ45" s="17">
        <v>1523</v>
      </c>
      <c r="BK45" s="17">
        <v>0</v>
      </c>
      <c r="BL45" s="17">
        <v>0</v>
      </c>
      <c r="BM45" s="17">
        <v>0</v>
      </c>
      <c r="BN45" s="17">
        <v>0</v>
      </c>
      <c r="BO45" s="17">
        <v>240</v>
      </c>
      <c r="BP45" s="17">
        <v>240</v>
      </c>
      <c r="BQ45" s="17">
        <v>5995</v>
      </c>
      <c r="BR45" s="17">
        <v>5995</v>
      </c>
      <c r="BS45" s="17">
        <v>300</v>
      </c>
      <c r="BT45" s="17">
        <v>300</v>
      </c>
      <c r="BU45" s="17">
        <v>3000</v>
      </c>
      <c r="BV45" s="17">
        <v>1828.53</v>
      </c>
      <c r="BW45" s="17">
        <f t="shared" si="15"/>
        <v>11058</v>
      </c>
      <c r="BX45" s="17">
        <f t="shared" si="15"/>
        <v>9886.53</v>
      </c>
      <c r="BY45" s="17">
        <f t="shared" si="16"/>
        <v>800352.0900000001</v>
      </c>
      <c r="BZ45" s="17">
        <f t="shared" si="16"/>
        <v>775695.48</v>
      </c>
    </row>
    <row r="46" spans="1:78" ht="19.5">
      <c r="A46" s="15"/>
      <c r="B46" s="15" t="s">
        <v>84</v>
      </c>
      <c r="C46" s="23">
        <f>SUM(C42:C45)</f>
        <v>1496963</v>
      </c>
      <c r="D46" s="23">
        <f>SUM(D42:D45)</f>
        <v>1496963</v>
      </c>
      <c r="E46" s="23">
        <f aca="true" t="shared" si="17" ref="E46:BZ46">SUM(E42:E45)</f>
        <v>11755.189999999999</v>
      </c>
      <c r="F46" s="23">
        <f t="shared" si="17"/>
        <v>11755.189999999999</v>
      </c>
      <c r="G46" s="23">
        <f t="shared" si="17"/>
        <v>101224.25</v>
      </c>
      <c r="H46" s="23">
        <f t="shared" si="17"/>
        <v>103632.25</v>
      </c>
      <c r="I46" s="23">
        <f t="shared" si="17"/>
        <v>231421.56</v>
      </c>
      <c r="J46" s="23">
        <f t="shared" si="17"/>
        <v>172632.56</v>
      </c>
      <c r="K46" s="23">
        <f t="shared" si="17"/>
        <v>204160</v>
      </c>
      <c r="L46" s="23">
        <f t="shared" si="17"/>
        <v>204160</v>
      </c>
      <c r="M46" s="23">
        <f t="shared" si="17"/>
        <v>26659</v>
      </c>
      <c r="N46" s="23">
        <f t="shared" si="17"/>
        <v>26659</v>
      </c>
      <c r="O46" s="23">
        <f t="shared" si="17"/>
        <v>932756.7999999999</v>
      </c>
      <c r="P46" s="23">
        <f t="shared" si="17"/>
        <v>932756.7999999999</v>
      </c>
      <c r="Q46" s="23">
        <f t="shared" si="17"/>
        <v>79000</v>
      </c>
      <c r="R46" s="23">
        <f t="shared" si="17"/>
        <v>98500</v>
      </c>
      <c r="S46" s="23">
        <f t="shared" si="17"/>
        <v>36619</v>
      </c>
      <c r="T46" s="23">
        <f t="shared" si="17"/>
        <v>36619</v>
      </c>
      <c r="U46" s="23">
        <f t="shared" si="17"/>
        <v>45030.64</v>
      </c>
      <c r="V46" s="23">
        <f t="shared" si="17"/>
        <v>45030.64</v>
      </c>
      <c r="W46" s="23">
        <f t="shared" si="17"/>
        <v>155500</v>
      </c>
      <c r="X46" s="23">
        <f t="shared" si="17"/>
        <v>70500</v>
      </c>
      <c r="Y46" s="23">
        <f t="shared" si="17"/>
        <v>684341</v>
      </c>
      <c r="Z46" s="23">
        <f t="shared" si="17"/>
        <v>684341</v>
      </c>
      <c r="AA46" s="23">
        <f t="shared" si="17"/>
        <v>55103</v>
      </c>
      <c r="AB46" s="23">
        <f t="shared" si="17"/>
        <v>55103</v>
      </c>
      <c r="AC46" s="23">
        <f t="shared" si="17"/>
        <v>304664.67000000004</v>
      </c>
      <c r="AD46" s="23">
        <f t="shared" si="17"/>
        <v>304664.67000000004</v>
      </c>
      <c r="AE46" s="23">
        <f t="shared" si="17"/>
        <v>757717.21</v>
      </c>
      <c r="AF46" s="23">
        <f t="shared" si="17"/>
        <v>757717.21</v>
      </c>
      <c r="AG46" s="23">
        <f t="shared" si="17"/>
        <v>43989</v>
      </c>
      <c r="AH46" s="23">
        <f t="shared" si="17"/>
        <v>45386.43</v>
      </c>
      <c r="AI46" s="23">
        <f t="shared" si="17"/>
        <v>12840</v>
      </c>
      <c r="AJ46" s="23">
        <f t="shared" si="17"/>
        <v>12840</v>
      </c>
      <c r="AK46" s="23">
        <f t="shared" si="17"/>
        <v>7856</v>
      </c>
      <c r="AL46" s="23">
        <f t="shared" si="17"/>
        <v>5376</v>
      </c>
      <c r="AM46" s="23">
        <f t="shared" si="17"/>
        <v>14763</v>
      </c>
      <c r="AN46" s="23">
        <f t="shared" si="17"/>
        <v>14863</v>
      </c>
      <c r="AO46" s="23">
        <f t="shared" si="17"/>
        <v>224840</v>
      </c>
      <c r="AP46" s="23">
        <f t="shared" si="17"/>
        <v>184219</v>
      </c>
      <c r="AQ46" s="23">
        <f t="shared" si="17"/>
        <v>103036</v>
      </c>
      <c r="AR46" s="23">
        <f t="shared" si="17"/>
        <v>74301.6</v>
      </c>
      <c r="AS46" s="23">
        <f t="shared" si="17"/>
        <v>97088.14</v>
      </c>
      <c r="AT46" s="23">
        <f t="shared" si="17"/>
        <v>97088.14</v>
      </c>
      <c r="AU46" s="23">
        <f t="shared" si="17"/>
        <v>14391.96</v>
      </c>
      <c r="AV46" s="23">
        <f t="shared" si="17"/>
        <v>14391.96</v>
      </c>
      <c r="AW46" s="23">
        <f t="shared" si="17"/>
        <v>75219</v>
      </c>
      <c r="AX46" s="23">
        <f t="shared" si="17"/>
        <v>63233</v>
      </c>
      <c r="AY46" s="23">
        <f t="shared" si="17"/>
        <v>17488</v>
      </c>
      <c r="AZ46" s="23">
        <f t="shared" si="17"/>
        <v>6091.36</v>
      </c>
      <c r="BA46" s="23">
        <f t="shared" si="17"/>
        <v>336879</v>
      </c>
      <c r="BB46" s="23">
        <f t="shared" si="17"/>
        <v>240699</v>
      </c>
      <c r="BC46" s="23">
        <f t="shared" si="17"/>
        <v>53596.659999999996</v>
      </c>
      <c r="BD46" s="23">
        <f t="shared" si="17"/>
        <v>53596.659999999996</v>
      </c>
      <c r="BE46" s="23">
        <f t="shared" si="17"/>
        <v>190273.02000000002</v>
      </c>
      <c r="BF46" s="23">
        <f t="shared" si="17"/>
        <v>190273.02000000002</v>
      </c>
      <c r="BG46" s="23">
        <f t="shared" si="17"/>
        <v>6315175.1</v>
      </c>
      <c r="BH46" s="23">
        <f t="shared" si="17"/>
        <v>6003393.49</v>
      </c>
      <c r="BI46" s="23">
        <f t="shared" si="17"/>
        <v>1762</v>
      </c>
      <c r="BJ46" s="23">
        <f t="shared" si="17"/>
        <v>1762</v>
      </c>
      <c r="BK46" s="23">
        <f t="shared" si="17"/>
        <v>20</v>
      </c>
      <c r="BL46" s="23">
        <f>SUM(BL42:BL45)</f>
        <v>39</v>
      </c>
      <c r="BM46" s="23">
        <f t="shared" si="17"/>
        <v>1536</v>
      </c>
      <c r="BN46" s="23">
        <f t="shared" si="17"/>
        <v>1536</v>
      </c>
      <c r="BO46" s="23">
        <f t="shared" si="17"/>
        <v>544</v>
      </c>
      <c r="BP46" s="23">
        <f t="shared" si="17"/>
        <v>544</v>
      </c>
      <c r="BQ46" s="23">
        <f t="shared" si="17"/>
        <v>6000</v>
      </c>
      <c r="BR46" s="23">
        <f t="shared" si="17"/>
        <v>6000</v>
      </c>
      <c r="BS46" s="23">
        <f t="shared" si="17"/>
        <v>300</v>
      </c>
      <c r="BT46" s="23">
        <f t="shared" si="17"/>
        <v>300</v>
      </c>
      <c r="BU46" s="23">
        <f t="shared" si="17"/>
        <v>8015</v>
      </c>
      <c r="BV46" s="23">
        <f t="shared" si="17"/>
        <v>3321.26</v>
      </c>
      <c r="BW46" s="23">
        <f t="shared" si="17"/>
        <v>18177</v>
      </c>
      <c r="BX46" s="23">
        <f t="shared" si="17"/>
        <v>13502.26</v>
      </c>
      <c r="BY46" s="23">
        <f t="shared" si="17"/>
        <v>6333352.1</v>
      </c>
      <c r="BZ46" s="23">
        <f t="shared" si="17"/>
        <v>6016895.75</v>
      </c>
    </row>
    <row r="47" spans="1:78" ht="19.5">
      <c r="A47" s="18"/>
      <c r="B47" s="18"/>
      <c r="C47" s="16"/>
      <c r="D47" s="16"/>
      <c r="E47" s="17"/>
      <c r="F47" s="17"/>
      <c r="G47" s="17"/>
      <c r="H47" s="17"/>
      <c r="I47" s="23"/>
      <c r="J47" s="23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0"/>
      <c r="AF47" s="20"/>
      <c r="AG47" s="20"/>
      <c r="AH47" s="20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ht="19.5">
      <c r="A48" s="15" t="s">
        <v>85</v>
      </c>
      <c r="B48" s="15" t="s">
        <v>86</v>
      </c>
      <c r="C48" s="23">
        <v>65593</v>
      </c>
      <c r="D48" s="23">
        <v>65593</v>
      </c>
      <c r="E48" s="23">
        <v>22463.91</v>
      </c>
      <c r="F48" s="23">
        <v>22463.91</v>
      </c>
      <c r="G48" s="23">
        <v>50497</v>
      </c>
      <c r="H48" s="23">
        <v>43925</v>
      </c>
      <c r="I48" s="23">
        <v>168223.1</v>
      </c>
      <c r="J48" s="23">
        <v>82578.1</v>
      </c>
      <c r="K48" s="23">
        <f>286.9*100</f>
        <v>28689.999999999996</v>
      </c>
      <c r="L48" s="23">
        <f>286.9*100</f>
        <v>28689.999999999996</v>
      </c>
      <c r="M48" s="23">
        <v>20330</v>
      </c>
      <c r="N48" s="23">
        <v>20330</v>
      </c>
      <c r="O48" s="23">
        <v>201901</v>
      </c>
      <c r="P48" s="23">
        <v>201901</v>
      </c>
      <c r="Q48" s="23">
        <v>163680</v>
      </c>
      <c r="R48" s="23">
        <v>115836.1</v>
      </c>
      <c r="S48" s="23">
        <f>461.6*100</f>
        <v>46160</v>
      </c>
      <c r="T48" s="23">
        <v>46160</v>
      </c>
      <c r="U48" s="23">
        <v>47800</v>
      </c>
      <c r="V48" s="23">
        <v>47800</v>
      </c>
      <c r="W48" s="23">
        <v>160000</v>
      </c>
      <c r="X48" s="23">
        <v>40000</v>
      </c>
      <c r="Y48" s="23">
        <v>440658</v>
      </c>
      <c r="Z48" s="23">
        <v>440658</v>
      </c>
      <c r="AA48" s="23">
        <f>1123*100</f>
        <v>112300</v>
      </c>
      <c r="AB48" s="23">
        <f>1123*100</f>
        <v>112300</v>
      </c>
      <c r="AC48" s="23">
        <v>198791.01</v>
      </c>
      <c r="AD48" s="23">
        <v>198791.01</v>
      </c>
      <c r="AE48" s="23">
        <v>304635.92</v>
      </c>
      <c r="AF48" s="23">
        <v>304635.92</v>
      </c>
      <c r="AG48" s="23">
        <v>14608</v>
      </c>
      <c r="AH48" s="23">
        <v>17130.8</v>
      </c>
      <c r="AI48" s="23">
        <v>56632</v>
      </c>
      <c r="AJ48" s="23">
        <v>56632</v>
      </c>
      <c r="AK48" s="23">
        <v>9125</v>
      </c>
      <c r="AL48" s="23">
        <v>9086</v>
      </c>
      <c r="AM48" s="23">
        <v>6100</v>
      </c>
      <c r="AN48" s="23">
        <v>8106.33</v>
      </c>
      <c r="AO48" s="23">
        <v>251049.95</v>
      </c>
      <c r="AP48" s="23">
        <v>68840</v>
      </c>
      <c r="AQ48" s="23">
        <v>331166</v>
      </c>
      <c r="AR48" s="23">
        <v>257102.08</v>
      </c>
      <c r="AS48" s="23">
        <v>1206700.14</v>
      </c>
      <c r="AT48" s="23">
        <v>1206700.14</v>
      </c>
      <c r="AU48" s="23">
        <v>2554.22</v>
      </c>
      <c r="AV48" s="23">
        <v>2554.22</v>
      </c>
      <c r="AW48" s="23">
        <f>2067.79*100</f>
        <v>206779</v>
      </c>
      <c r="AX48" s="23">
        <f>2067.8*100</f>
        <v>206780.00000000003</v>
      </c>
      <c r="AY48" s="23">
        <v>3395.96</v>
      </c>
      <c r="AZ48" s="23">
        <v>1816.33</v>
      </c>
      <c r="BA48" s="23">
        <v>403724</v>
      </c>
      <c r="BB48" s="23">
        <v>578901</v>
      </c>
      <c r="BC48" s="23">
        <v>40395.68</v>
      </c>
      <c r="BD48" s="23">
        <v>40395.68</v>
      </c>
      <c r="BE48" s="23">
        <v>168857</v>
      </c>
      <c r="BF48" s="23">
        <v>168857</v>
      </c>
      <c r="BG48" s="23">
        <f>+C48+E48+G48+I48+K48+M48+O48+Q48+S48+U48+W48+Y48+AA48+AC48+AE48+AG48+AI48+AK48+AM48+AO48+AQ48+AS48+AU48+AW48+AY48+BA48+BC48+BE48</f>
        <v>4732809.890000001</v>
      </c>
      <c r="BH48" s="23">
        <f>+D48+F48+H48+J48+L48+N48+P48+R48+T48+V48+X48+Z48+AB48+AD48+AF48+AH48+AJ48+AL48+AN48+AP48+AR48+AT48+AV48+AX48+AZ48+BB48+BD48+BF48</f>
        <v>4394563.62</v>
      </c>
      <c r="BI48" s="23">
        <v>6890</v>
      </c>
      <c r="BJ48" s="23">
        <v>6890</v>
      </c>
      <c r="BK48" s="23">
        <v>4170</v>
      </c>
      <c r="BL48" s="23">
        <v>3970</v>
      </c>
      <c r="BM48" s="23">
        <f>8+7+4743</f>
        <v>4758</v>
      </c>
      <c r="BN48" s="23">
        <f>8+7+4743</f>
        <v>4758</v>
      </c>
      <c r="BO48" s="23">
        <v>3699</v>
      </c>
      <c r="BP48" s="23">
        <v>3699</v>
      </c>
      <c r="BQ48" s="23">
        <f>157600+93300</f>
        <v>250900</v>
      </c>
      <c r="BR48" s="23">
        <f>157600+93300</f>
        <v>250900</v>
      </c>
      <c r="BS48" s="23">
        <f>2000+550</f>
        <v>2550</v>
      </c>
      <c r="BT48" s="23">
        <f>2000+550</f>
        <v>2550</v>
      </c>
      <c r="BU48" s="23">
        <v>15515</v>
      </c>
      <c r="BV48" s="23">
        <v>7329.84</v>
      </c>
      <c r="BW48" s="17">
        <f>SUM(BI48+BK48+BM48+BO48+BQ48+BS48+BU48)</f>
        <v>288482</v>
      </c>
      <c r="BX48" s="17">
        <f>SUM(BJ48+BL48+BN48+BP48+BR48+BT48+BV48)</f>
        <v>280096.84</v>
      </c>
      <c r="BY48" s="23">
        <f>+BW48+BG48</f>
        <v>5021291.890000001</v>
      </c>
      <c r="BZ48" s="23">
        <f>+BX48+BH48</f>
        <v>4674660.46</v>
      </c>
    </row>
    <row r="49" spans="1:78" ht="19.5">
      <c r="A49" s="15"/>
      <c r="B49" s="15"/>
      <c r="C49" s="17"/>
      <c r="D49" s="17"/>
      <c r="E49" s="17"/>
      <c r="F49" s="17"/>
      <c r="G49" s="17"/>
      <c r="H49" s="17"/>
      <c r="I49" s="23"/>
      <c r="J49" s="23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4"/>
      <c r="AF49" s="24"/>
      <c r="AG49" s="24"/>
      <c r="AH49" s="24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9.5">
      <c r="A50" s="15" t="s">
        <v>87</v>
      </c>
      <c r="B50" s="15" t="s">
        <v>88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24"/>
      <c r="AF50" s="24"/>
      <c r="AG50" s="24"/>
      <c r="AH50" s="24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</row>
    <row r="51" spans="1:78" ht="19.5">
      <c r="A51" s="18"/>
      <c r="B51" s="18" t="s">
        <v>89</v>
      </c>
      <c r="C51" s="20">
        <v>43401.71</v>
      </c>
      <c r="D51" s="20">
        <v>43401.71</v>
      </c>
      <c r="E51" s="17">
        <v>1033</v>
      </c>
      <c r="F51" s="17">
        <v>1033</v>
      </c>
      <c r="G51" s="17">
        <f>2820+2030+988+859.7</f>
        <v>6697.7</v>
      </c>
      <c r="H51" s="17">
        <f>3052+1505+839+744.7</f>
        <v>6140.7</v>
      </c>
      <c r="I51" s="17">
        <v>25914.62</v>
      </c>
      <c r="J51" s="17">
        <v>15614.62</v>
      </c>
      <c r="K51" s="17">
        <f>30.95*100</f>
        <v>3095</v>
      </c>
      <c r="L51" s="17">
        <f>30.95*100</f>
        <v>3095</v>
      </c>
      <c r="M51" s="17">
        <f>2313.25+108.5+710.2</f>
        <v>3131.95</v>
      </c>
      <c r="N51" s="17">
        <f>2313.25+108.5+710.2</f>
        <v>3131.95</v>
      </c>
      <c r="O51" s="17">
        <v>15736.45</v>
      </c>
      <c r="P51" s="17">
        <v>15736.45</v>
      </c>
      <c r="Q51" s="17">
        <v>5500</v>
      </c>
      <c r="R51" s="17">
        <v>5500</v>
      </c>
      <c r="S51" s="17">
        <f>25.75*100</f>
        <v>2575</v>
      </c>
      <c r="T51" s="17">
        <v>2575</v>
      </c>
      <c r="U51" s="17">
        <v>5999.9</v>
      </c>
      <c r="V51" s="17">
        <v>5999.9</v>
      </c>
      <c r="W51" s="17">
        <v>11291</v>
      </c>
      <c r="X51" s="17">
        <v>10291</v>
      </c>
      <c r="Y51" s="17">
        <f>330.64*100</f>
        <v>33064</v>
      </c>
      <c r="Z51" s="17">
        <f>330.64*100</f>
        <v>33064</v>
      </c>
      <c r="AA51" s="17">
        <f>244.36*100</f>
        <v>24436</v>
      </c>
      <c r="AB51" s="17">
        <f>244.36*100</f>
        <v>24436</v>
      </c>
      <c r="AC51" s="17">
        <v>12839.3</v>
      </c>
      <c r="AD51" s="17">
        <v>12839.3</v>
      </c>
      <c r="AE51" s="20">
        <v>7507.64</v>
      </c>
      <c r="AF51" s="20">
        <v>7507.64</v>
      </c>
      <c r="AG51" s="20">
        <v>3030</v>
      </c>
      <c r="AH51" s="20">
        <v>2630</v>
      </c>
      <c r="AI51" s="17">
        <f>1200+800</f>
        <v>2000</v>
      </c>
      <c r="AJ51" s="17">
        <f>1200+800</f>
        <v>2000</v>
      </c>
      <c r="AK51" s="17">
        <f>2121+533.5</f>
        <v>2654.5</v>
      </c>
      <c r="AL51" s="17">
        <f>2136+528.5</f>
        <v>2664.5</v>
      </c>
      <c r="AM51" s="17">
        <v>2500</v>
      </c>
      <c r="AN51" s="17">
        <v>3222.09</v>
      </c>
      <c r="AO51" s="17">
        <v>8210</v>
      </c>
      <c r="AP51" s="17">
        <v>7909</v>
      </c>
      <c r="AQ51" s="17">
        <v>5812.3</v>
      </c>
      <c r="AR51" s="17">
        <v>560</v>
      </c>
      <c r="AS51" s="17">
        <v>2891.31</v>
      </c>
      <c r="AT51" s="17">
        <v>2891.31</v>
      </c>
      <c r="AU51" s="17">
        <v>565.06</v>
      </c>
      <c r="AV51" s="17">
        <v>565.06</v>
      </c>
      <c r="AW51" s="17">
        <f>293.28*100</f>
        <v>29327.999999999996</v>
      </c>
      <c r="AX51" s="17">
        <f>7.71*100</f>
        <v>771</v>
      </c>
      <c r="AY51" s="17">
        <v>1183.91</v>
      </c>
      <c r="AZ51" s="17">
        <v>1693.64</v>
      </c>
      <c r="BA51" s="17">
        <v>8415</v>
      </c>
      <c r="BB51" s="17">
        <v>5214</v>
      </c>
      <c r="BC51" s="17">
        <v>2647.72</v>
      </c>
      <c r="BD51" s="17">
        <v>2647.72</v>
      </c>
      <c r="BE51" s="17">
        <v>28655</v>
      </c>
      <c r="BF51" s="17">
        <v>28655</v>
      </c>
      <c r="BG51" s="17">
        <f aca="true" t="shared" si="18" ref="BG51:BH53">+C51+E51+G51+I51+K51+M51+O51+Q51+S51+U51+W51+Y51+AA51+AC51+AE51+AG51+AI51+AK51+AM51+AO51+AQ51+AS51+AU51+AW51+AY51+BA51+BC51+BE51</f>
        <v>300116.06999999995</v>
      </c>
      <c r="BH51" s="17">
        <f t="shared" si="18"/>
        <v>251789.59</v>
      </c>
      <c r="BI51" s="17">
        <v>669</v>
      </c>
      <c r="BJ51" s="17">
        <v>669</v>
      </c>
      <c r="BK51" s="17">
        <v>0</v>
      </c>
      <c r="BL51" s="17">
        <v>0</v>
      </c>
      <c r="BM51" s="17">
        <v>242</v>
      </c>
      <c r="BN51" s="17">
        <v>242</v>
      </c>
      <c r="BO51" s="17">
        <v>57</v>
      </c>
      <c r="BP51" s="17">
        <v>57</v>
      </c>
      <c r="BQ51" s="17">
        <v>1841</v>
      </c>
      <c r="BR51" s="17">
        <v>1841</v>
      </c>
      <c r="BS51" s="17">
        <v>300</v>
      </c>
      <c r="BT51" s="17">
        <v>300</v>
      </c>
      <c r="BU51" s="17">
        <v>2172.5</v>
      </c>
      <c r="BV51" s="17">
        <v>2612.5</v>
      </c>
      <c r="BW51" s="17">
        <f aca="true" t="shared" si="19" ref="BW51:BX53">SUM(BI51+BK51+BM51+BO51+BQ51+BS51+BU51)</f>
        <v>5281.5</v>
      </c>
      <c r="BX51" s="17">
        <f t="shared" si="19"/>
        <v>5721.5</v>
      </c>
      <c r="BY51" s="17">
        <f aca="true" t="shared" si="20" ref="BY51:BZ53">+BW51+BG51</f>
        <v>305397.56999999995</v>
      </c>
      <c r="BZ51" s="17">
        <f t="shared" si="20"/>
        <v>257511.09</v>
      </c>
    </row>
    <row r="52" spans="1:78" ht="19.5">
      <c r="A52" s="18"/>
      <c r="B52" s="18" t="s">
        <v>90</v>
      </c>
      <c r="C52" s="20">
        <v>18742.13</v>
      </c>
      <c r="D52" s="20">
        <v>18742.13</v>
      </c>
      <c r="E52" s="17">
        <f>112+85</f>
        <v>197</v>
      </c>
      <c r="F52" s="17">
        <f>112+85</f>
        <v>197</v>
      </c>
      <c r="G52" s="17">
        <v>7337.02</v>
      </c>
      <c r="H52" s="17">
        <v>10456.48</v>
      </c>
      <c r="I52" s="17">
        <v>21330.04</v>
      </c>
      <c r="J52" s="17">
        <v>16330.04</v>
      </c>
      <c r="K52" s="17">
        <f>120.36*100</f>
        <v>12036</v>
      </c>
      <c r="L52" s="17">
        <f>120.36*100</f>
        <v>12036</v>
      </c>
      <c r="M52" s="17">
        <v>500</v>
      </c>
      <c r="N52" s="17">
        <v>500</v>
      </c>
      <c r="O52" s="17">
        <v>98255.72</v>
      </c>
      <c r="P52" s="17">
        <v>98255.72</v>
      </c>
      <c r="Q52" s="17">
        <v>60</v>
      </c>
      <c r="R52" s="17">
        <v>2060</v>
      </c>
      <c r="S52" s="17">
        <f>1.21*100</f>
        <v>121</v>
      </c>
      <c r="T52" s="17">
        <v>121</v>
      </c>
      <c r="U52" s="17">
        <v>7820</v>
      </c>
      <c r="V52" s="17">
        <v>7820</v>
      </c>
      <c r="W52" s="17">
        <v>7709</v>
      </c>
      <c r="X52" s="17">
        <v>6709</v>
      </c>
      <c r="Y52" s="17">
        <v>32721</v>
      </c>
      <c r="Z52" s="17">
        <v>32721</v>
      </c>
      <c r="AA52" s="17">
        <f>220.3*100</f>
        <v>22030</v>
      </c>
      <c r="AB52" s="17">
        <f>220.3*100</f>
        <v>22030</v>
      </c>
      <c r="AC52" s="17">
        <v>23168.12</v>
      </c>
      <c r="AD52" s="17">
        <v>23168.12</v>
      </c>
      <c r="AE52" s="20">
        <v>21858.85</v>
      </c>
      <c r="AF52" s="20">
        <v>21858.85</v>
      </c>
      <c r="AG52" s="20">
        <v>60</v>
      </c>
      <c r="AH52" s="20">
        <v>50</v>
      </c>
      <c r="AI52" s="17">
        <v>2040</v>
      </c>
      <c r="AJ52" s="17">
        <v>1946</v>
      </c>
      <c r="AK52" s="17">
        <v>10</v>
      </c>
      <c r="AL52" s="17">
        <v>10</v>
      </c>
      <c r="AM52" s="17">
        <v>1000</v>
      </c>
      <c r="AN52" s="17">
        <v>1053.56</v>
      </c>
      <c r="AO52" s="17">
        <f>500+12+28+200</f>
        <v>740</v>
      </c>
      <c r="AP52" s="17">
        <v>600</v>
      </c>
      <c r="AQ52" s="17">
        <v>0</v>
      </c>
      <c r="AR52" s="17">
        <v>0</v>
      </c>
      <c r="AS52" s="17">
        <v>1504.02</v>
      </c>
      <c r="AT52" s="17">
        <v>1504.02</v>
      </c>
      <c r="AU52" s="17">
        <v>100</v>
      </c>
      <c r="AV52" s="17">
        <v>100</v>
      </c>
      <c r="AW52" s="17">
        <f>22.71*100</f>
        <v>2271</v>
      </c>
      <c r="AX52" s="17">
        <f>237.14*100</f>
        <v>23714</v>
      </c>
      <c r="AY52" s="17">
        <v>2012</v>
      </c>
      <c r="AZ52" s="17">
        <v>1497.05</v>
      </c>
      <c r="BA52" s="17">
        <v>415142</v>
      </c>
      <c r="BB52" s="17">
        <v>444936</v>
      </c>
      <c r="BC52" s="17">
        <v>50</v>
      </c>
      <c r="BD52" s="17">
        <v>50</v>
      </c>
      <c r="BE52" s="17">
        <v>52086.89</v>
      </c>
      <c r="BF52" s="17">
        <v>52086.89</v>
      </c>
      <c r="BG52" s="17">
        <f t="shared" si="18"/>
        <v>750901.79</v>
      </c>
      <c r="BH52" s="17">
        <f t="shared" si="18"/>
        <v>800552.86</v>
      </c>
      <c r="BI52" s="17">
        <v>0</v>
      </c>
      <c r="BJ52" s="17">
        <v>0</v>
      </c>
      <c r="BK52" s="17">
        <v>150</v>
      </c>
      <c r="BL52" s="17">
        <v>134</v>
      </c>
      <c r="BM52" s="17">
        <v>0</v>
      </c>
      <c r="BN52" s="17">
        <v>0</v>
      </c>
      <c r="BO52" s="17">
        <v>461</v>
      </c>
      <c r="BP52" s="17">
        <v>461</v>
      </c>
      <c r="BQ52" s="17">
        <v>649</v>
      </c>
      <c r="BR52" s="17">
        <v>649</v>
      </c>
      <c r="BS52" s="17">
        <v>0</v>
      </c>
      <c r="BT52" s="17">
        <v>0</v>
      </c>
      <c r="BU52" s="17">
        <v>7731</v>
      </c>
      <c r="BV52" s="17">
        <v>7595</v>
      </c>
      <c r="BW52" s="17">
        <f t="shared" si="19"/>
        <v>8991</v>
      </c>
      <c r="BX52" s="17">
        <f t="shared" si="19"/>
        <v>8839</v>
      </c>
      <c r="BY52" s="17">
        <f t="shared" si="20"/>
        <v>759892.79</v>
      </c>
      <c r="BZ52" s="17">
        <f t="shared" si="20"/>
        <v>809391.86</v>
      </c>
    </row>
    <row r="53" spans="1:78" ht="19.5">
      <c r="A53" s="18"/>
      <c r="B53" s="18" t="s">
        <v>91</v>
      </c>
      <c r="C53" s="20">
        <v>1100</v>
      </c>
      <c r="D53" s="20">
        <v>1100</v>
      </c>
      <c r="E53" s="17">
        <v>332</v>
      </c>
      <c r="F53" s="17">
        <v>332</v>
      </c>
      <c r="G53" s="17">
        <v>639</v>
      </c>
      <c r="H53" s="17">
        <v>478</v>
      </c>
      <c r="I53" s="17">
        <v>0</v>
      </c>
      <c r="J53" s="17">
        <v>0</v>
      </c>
      <c r="K53" s="17">
        <f>105.3*100</f>
        <v>10530</v>
      </c>
      <c r="L53" s="17">
        <f>105.3*100</f>
        <v>10530</v>
      </c>
      <c r="M53" s="17">
        <f>10500+270</f>
        <v>10770</v>
      </c>
      <c r="N53" s="17">
        <f>10500+270</f>
        <v>10770</v>
      </c>
      <c r="O53" s="17">
        <v>4166</v>
      </c>
      <c r="P53" s="17">
        <v>4166</v>
      </c>
      <c r="Q53" s="17">
        <f>100</f>
        <v>100</v>
      </c>
      <c r="R53" s="17">
        <v>100</v>
      </c>
      <c r="S53" s="17">
        <f>0.06*100</f>
        <v>6</v>
      </c>
      <c r="T53" s="17">
        <v>6</v>
      </c>
      <c r="U53" s="17">
        <v>1320</v>
      </c>
      <c r="V53" s="17">
        <v>1320</v>
      </c>
      <c r="W53" s="17">
        <f>160+240</f>
        <v>400</v>
      </c>
      <c r="X53" s="17">
        <f>160+240</f>
        <v>400</v>
      </c>
      <c r="Y53" s="17">
        <v>0</v>
      </c>
      <c r="Z53" s="17">
        <v>0</v>
      </c>
      <c r="AA53" s="17">
        <f>1.62*100</f>
        <v>162</v>
      </c>
      <c r="AB53" s="17">
        <f>1.62*100</f>
        <v>162</v>
      </c>
      <c r="AC53" s="17">
        <v>1110</v>
      </c>
      <c r="AD53" s="17">
        <v>1110</v>
      </c>
      <c r="AE53" s="20">
        <v>868.89</v>
      </c>
      <c r="AF53" s="20">
        <v>868.89</v>
      </c>
      <c r="AG53" s="20">
        <f>1788.75+30</f>
        <v>1818.75</v>
      </c>
      <c r="AH53" s="20">
        <f>1588.75+10</f>
        <v>1598.75</v>
      </c>
      <c r="AI53" s="17">
        <v>500</v>
      </c>
      <c r="AJ53" s="17">
        <v>1164</v>
      </c>
      <c r="AK53" s="17">
        <v>100</v>
      </c>
      <c r="AL53" s="17">
        <v>100</v>
      </c>
      <c r="AM53" s="17">
        <v>964</v>
      </c>
      <c r="AN53" s="17">
        <v>1024</v>
      </c>
      <c r="AO53" s="17">
        <v>60</v>
      </c>
      <c r="AP53" s="17">
        <f>12+60+28+100</f>
        <v>200</v>
      </c>
      <c r="AQ53" s="17">
        <v>0</v>
      </c>
      <c r="AR53" s="17">
        <v>0</v>
      </c>
      <c r="AS53" s="17">
        <v>13454.73</v>
      </c>
      <c r="AT53" s="17">
        <v>13454.73</v>
      </c>
      <c r="AU53" s="17">
        <v>49.55</v>
      </c>
      <c r="AV53" s="17">
        <v>49.55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130</v>
      </c>
      <c r="BD53" s="17">
        <v>130</v>
      </c>
      <c r="BE53" s="17">
        <v>373.89</v>
      </c>
      <c r="BF53" s="17">
        <v>373.89</v>
      </c>
      <c r="BG53" s="17">
        <f t="shared" si="18"/>
        <v>48954.81</v>
      </c>
      <c r="BH53" s="17">
        <f t="shared" si="18"/>
        <v>49437.81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f t="shared" si="19"/>
        <v>0</v>
      </c>
      <c r="BX53" s="17">
        <f t="shared" si="19"/>
        <v>0</v>
      </c>
      <c r="BY53" s="17">
        <f t="shared" si="20"/>
        <v>48954.81</v>
      </c>
      <c r="BZ53" s="17">
        <f t="shared" si="20"/>
        <v>49437.81</v>
      </c>
    </row>
    <row r="54" spans="1:78" ht="19.5">
      <c r="A54" s="15"/>
      <c r="B54" s="15" t="s">
        <v>92</v>
      </c>
      <c r="C54" s="23">
        <f aca="true" t="shared" si="21" ref="C54:BZ54">SUM(C51:C53)</f>
        <v>63243.84</v>
      </c>
      <c r="D54" s="23">
        <f t="shared" si="21"/>
        <v>63243.84</v>
      </c>
      <c r="E54" s="23">
        <f t="shared" si="21"/>
        <v>1562</v>
      </c>
      <c r="F54" s="23">
        <f t="shared" si="21"/>
        <v>1562</v>
      </c>
      <c r="G54" s="23">
        <f t="shared" si="21"/>
        <v>14673.720000000001</v>
      </c>
      <c r="H54" s="23">
        <f t="shared" si="21"/>
        <v>17075.18</v>
      </c>
      <c r="I54" s="23">
        <f t="shared" si="21"/>
        <v>47244.66</v>
      </c>
      <c r="J54" s="23">
        <f t="shared" si="21"/>
        <v>31944.660000000003</v>
      </c>
      <c r="K54" s="23">
        <f t="shared" si="21"/>
        <v>25661</v>
      </c>
      <c r="L54" s="23">
        <f t="shared" si="21"/>
        <v>25661</v>
      </c>
      <c r="M54" s="23">
        <f t="shared" si="21"/>
        <v>14401.95</v>
      </c>
      <c r="N54" s="23">
        <f t="shared" si="21"/>
        <v>14401.95</v>
      </c>
      <c r="O54" s="23">
        <f t="shared" si="21"/>
        <v>118158.17</v>
      </c>
      <c r="P54" s="23">
        <f t="shared" si="21"/>
        <v>118158.17</v>
      </c>
      <c r="Q54" s="23">
        <f t="shared" si="21"/>
        <v>5660</v>
      </c>
      <c r="R54" s="23">
        <f t="shared" si="21"/>
        <v>7660</v>
      </c>
      <c r="S54" s="23">
        <f t="shared" si="21"/>
        <v>2702</v>
      </c>
      <c r="T54" s="23">
        <f t="shared" si="21"/>
        <v>2702</v>
      </c>
      <c r="U54" s="23">
        <f t="shared" si="21"/>
        <v>15139.9</v>
      </c>
      <c r="V54" s="23">
        <f t="shared" si="21"/>
        <v>15139.9</v>
      </c>
      <c r="W54" s="23">
        <f t="shared" si="21"/>
        <v>19400</v>
      </c>
      <c r="X54" s="23">
        <f t="shared" si="21"/>
        <v>17400</v>
      </c>
      <c r="Y54" s="23">
        <f t="shared" si="21"/>
        <v>65785</v>
      </c>
      <c r="Z54" s="23">
        <f t="shared" si="21"/>
        <v>65785</v>
      </c>
      <c r="AA54" s="23">
        <f t="shared" si="21"/>
        <v>46628</v>
      </c>
      <c r="AB54" s="23">
        <f t="shared" si="21"/>
        <v>46628</v>
      </c>
      <c r="AC54" s="23">
        <f t="shared" si="21"/>
        <v>37117.42</v>
      </c>
      <c r="AD54" s="23">
        <f t="shared" si="21"/>
        <v>37117.42</v>
      </c>
      <c r="AE54" s="23">
        <f t="shared" si="21"/>
        <v>30235.379999999997</v>
      </c>
      <c r="AF54" s="23">
        <f t="shared" si="21"/>
        <v>30235.379999999997</v>
      </c>
      <c r="AG54" s="23">
        <f t="shared" si="21"/>
        <v>4908.75</v>
      </c>
      <c r="AH54" s="23">
        <f t="shared" si="21"/>
        <v>4278.75</v>
      </c>
      <c r="AI54" s="23">
        <f t="shared" si="21"/>
        <v>4540</v>
      </c>
      <c r="AJ54" s="23">
        <f t="shared" si="21"/>
        <v>5110</v>
      </c>
      <c r="AK54" s="23">
        <f t="shared" si="21"/>
        <v>2764.5</v>
      </c>
      <c r="AL54" s="23">
        <f t="shared" si="21"/>
        <v>2774.5</v>
      </c>
      <c r="AM54" s="23">
        <f t="shared" si="21"/>
        <v>4464</v>
      </c>
      <c r="AN54" s="23">
        <f t="shared" si="21"/>
        <v>5299.65</v>
      </c>
      <c r="AO54" s="23">
        <f t="shared" si="21"/>
        <v>9010</v>
      </c>
      <c r="AP54" s="23">
        <f t="shared" si="21"/>
        <v>8709</v>
      </c>
      <c r="AQ54" s="23">
        <f t="shared" si="21"/>
        <v>5812.3</v>
      </c>
      <c r="AR54" s="23">
        <f t="shared" si="21"/>
        <v>560</v>
      </c>
      <c r="AS54" s="23">
        <f t="shared" si="21"/>
        <v>17850.059999999998</v>
      </c>
      <c r="AT54" s="23">
        <f t="shared" si="21"/>
        <v>17850.059999999998</v>
      </c>
      <c r="AU54" s="23">
        <f t="shared" si="21"/>
        <v>714.6099999999999</v>
      </c>
      <c r="AV54" s="23">
        <f t="shared" si="21"/>
        <v>714.6099999999999</v>
      </c>
      <c r="AW54" s="23">
        <f t="shared" si="21"/>
        <v>31598.999999999996</v>
      </c>
      <c r="AX54" s="23">
        <f>SUM(AX51:AX53)</f>
        <v>24485</v>
      </c>
      <c r="AY54" s="23">
        <f t="shared" si="21"/>
        <v>3195.91</v>
      </c>
      <c r="AZ54" s="23">
        <f t="shared" si="21"/>
        <v>3190.69</v>
      </c>
      <c r="BA54" s="23">
        <f t="shared" si="21"/>
        <v>423557</v>
      </c>
      <c r="BB54" s="23">
        <f t="shared" si="21"/>
        <v>450150</v>
      </c>
      <c r="BC54" s="23">
        <f t="shared" si="21"/>
        <v>2827.72</v>
      </c>
      <c r="BD54" s="23">
        <f t="shared" si="21"/>
        <v>2827.72</v>
      </c>
      <c r="BE54" s="23">
        <f t="shared" si="21"/>
        <v>81115.78</v>
      </c>
      <c r="BF54" s="23">
        <f t="shared" si="21"/>
        <v>81115.78</v>
      </c>
      <c r="BG54" s="23">
        <f t="shared" si="21"/>
        <v>1099972.67</v>
      </c>
      <c r="BH54" s="23">
        <f t="shared" si="21"/>
        <v>1101780.26</v>
      </c>
      <c r="BI54" s="23">
        <f t="shared" si="21"/>
        <v>669</v>
      </c>
      <c r="BJ54" s="23">
        <f t="shared" si="21"/>
        <v>669</v>
      </c>
      <c r="BK54" s="23">
        <f t="shared" si="21"/>
        <v>150</v>
      </c>
      <c r="BL54" s="23">
        <f t="shared" si="21"/>
        <v>134</v>
      </c>
      <c r="BM54" s="23">
        <f t="shared" si="21"/>
        <v>242</v>
      </c>
      <c r="BN54" s="23">
        <f t="shared" si="21"/>
        <v>242</v>
      </c>
      <c r="BO54" s="23">
        <f t="shared" si="21"/>
        <v>518</v>
      </c>
      <c r="BP54" s="23">
        <f t="shared" si="21"/>
        <v>518</v>
      </c>
      <c r="BQ54" s="23">
        <f t="shared" si="21"/>
        <v>2490</v>
      </c>
      <c r="BR54" s="23">
        <f t="shared" si="21"/>
        <v>2490</v>
      </c>
      <c r="BS54" s="23">
        <f t="shared" si="21"/>
        <v>300</v>
      </c>
      <c r="BT54" s="23">
        <f t="shared" si="21"/>
        <v>300</v>
      </c>
      <c r="BU54" s="23">
        <f t="shared" si="21"/>
        <v>9903.5</v>
      </c>
      <c r="BV54" s="23">
        <f t="shared" si="21"/>
        <v>10207.5</v>
      </c>
      <c r="BW54" s="23">
        <f t="shared" si="21"/>
        <v>14272.5</v>
      </c>
      <c r="BX54" s="23">
        <f t="shared" si="21"/>
        <v>14560.5</v>
      </c>
      <c r="BY54" s="23">
        <f t="shared" si="21"/>
        <v>1114245.17</v>
      </c>
      <c r="BZ54" s="23">
        <f t="shared" si="21"/>
        <v>1116340.76</v>
      </c>
    </row>
    <row r="55" spans="1:78" ht="19.5">
      <c r="A55" s="15"/>
      <c r="B55" s="15"/>
      <c r="C55" s="16"/>
      <c r="D55" s="16"/>
      <c r="E55" s="17"/>
      <c r="F55" s="17"/>
      <c r="G55" s="17"/>
      <c r="H55" s="17"/>
      <c r="I55" s="23"/>
      <c r="J55" s="23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20"/>
      <c r="AF55" s="20"/>
      <c r="AG55" s="20"/>
      <c r="AH55" s="20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</row>
    <row r="56" spans="1:78" ht="19.5">
      <c r="A56" s="15" t="s">
        <v>93</v>
      </c>
      <c r="B56" s="15" t="s">
        <v>94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20"/>
      <c r="AF56" s="20"/>
      <c r="AG56" s="20"/>
      <c r="AH56" s="20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</row>
    <row r="57" spans="1:78" ht="19.5">
      <c r="A57" s="18"/>
      <c r="B57" s="18" t="s">
        <v>95</v>
      </c>
      <c r="C57" s="20">
        <v>4500</v>
      </c>
      <c r="D57" s="20">
        <v>4500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929</v>
      </c>
      <c r="N57" s="17">
        <v>929</v>
      </c>
      <c r="O57" s="17">
        <v>5000</v>
      </c>
      <c r="P57" s="17">
        <v>5000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f>50*100</f>
        <v>5000</v>
      </c>
      <c r="Z57" s="17">
        <f>50*100</f>
        <v>5000</v>
      </c>
      <c r="AA57" s="17">
        <f>230.81*100</f>
        <v>23081</v>
      </c>
      <c r="AB57" s="17">
        <f>230.81*100</f>
        <v>23081</v>
      </c>
      <c r="AC57" s="17">
        <v>0</v>
      </c>
      <c r="AD57" s="17">
        <v>0</v>
      </c>
      <c r="AE57" s="20">
        <v>11690.16</v>
      </c>
      <c r="AF57" s="20">
        <v>11690.16</v>
      </c>
      <c r="AG57" s="20">
        <v>0</v>
      </c>
      <c r="AH57" s="20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405</v>
      </c>
      <c r="AP57" s="17">
        <v>380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f aca="true" t="shared" si="22" ref="BG57:BH62">+C57+E57+G57+I57+K57+M57+O57+Q57+S57+U57+W57+Y57+AA57+AC57+AE57+AG57+AI57+AK57+AM57+AO57+AQ57+AS57+AU57+AW57+AY57+BA57+BC57+BE57</f>
        <v>50605.16</v>
      </c>
      <c r="BH57" s="17">
        <f t="shared" si="22"/>
        <v>50580.16</v>
      </c>
      <c r="BI57" s="17">
        <v>1537</v>
      </c>
      <c r="BJ57" s="17">
        <v>1537</v>
      </c>
      <c r="BK57" s="17">
        <v>0</v>
      </c>
      <c r="BL57" s="17">
        <v>0</v>
      </c>
      <c r="BM57" s="17">
        <v>0</v>
      </c>
      <c r="BN57" s="17">
        <v>0</v>
      </c>
      <c r="BO57" s="17">
        <v>210</v>
      </c>
      <c r="BP57" s="17">
        <v>210</v>
      </c>
      <c r="BQ57" s="17">
        <v>0</v>
      </c>
      <c r="BR57" s="17">
        <v>0</v>
      </c>
      <c r="BS57" s="17">
        <v>14900</v>
      </c>
      <c r="BT57" s="17">
        <v>14900</v>
      </c>
      <c r="BU57" s="17">
        <v>400</v>
      </c>
      <c r="BV57" s="17">
        <v>375</v>
      </c>
      <c r="BW57" s="17">
        <f aca="true" t="shared" si="23" ref="BW57:BW62">SUM(BI57+BK57+BM57+BO57+BQ57+BS57+BU57)</f>
        <v>17047</v>
      </c>
      <c r="BX57" s="17">
        <f aca="true" t="shared" si="24" ref="BX57:BX62">SUM(BJ57+BL57+BN57+BP57+BR57+BT57+BV57)</f>
        <v>17022</v>
      </c>
      <c r="BY57" s="17">
        <f aca="true" t="shared" si="25" ref="BY57:BZ62">+BW57+BG57</f>
        <v>67652.16</v>
      </c>
      <c r="BZ57" s="17">
        <f t="shared" si="25"/>
        <v>67602.16</v>
      </c>
    </row>
    <row r="58" spans="1:78" ht="19.5">
      <c r="A58" s="18"/>
      <c r="B58" s="18" t="s">
        <v>96</v>
      </c>
      <c r="C58" s="20">
        <v>6900</v>
      </c>
      <c r="D58" s="20">
        <v>6900</v>
      </c>
      <c r="E58" s="17">
        <v>236.65</v>
      </c>
      <c r="F58" s="17">
        <v>236.65</v>
      </c>
      <c r="G58" s="17">
        <v>0</v>
      </c>
      <c r="H58" s="17">
        <v>0</v>
      </c>
      <c r="I58" s="17">
        <v>945</v>
      </c>
      <c r="J58" s="17">
        <v>645</v>
      </c>
      <c r="K58" s="17">
        <f>16.51*100</f>
        <v>1651.0000000000002</v>
      </c>
      <c r="L58" s="17">
        <f>16.51*100</f>
        <v>1651.0000000000002</v>
      </c>
      <c r="M58" s="17">
        <v>2050</v>
      </c>
      <c r="N58" s="17">
        <v>2050</v>
      </c>
      <c r="O58" s="17">
        <f>5500+500</f>
        <v>6000</v>
      </c>
      <c r="P58" s="17">
        <f>5500+500</f>
        <v>6000</v>
      </c>
      <c r="Q58" s="17">
        <v>85</v>
      </c>
      <c r="R58" s="17">
        <v>135</v>
      </c>
      <c r="S58" s="17">
        <f>1.33*100</f>
        <v>133</v>
      </c>
      <c r="T58" s="17">
        <v>133</v>
      </c>
      <c r="U58" s="17">
        <v>4000</v>
      </c>
      <c r="V58" s="17">
        <v>4000</v>
      </c>
      <c r="W58" s="17">
        <v>6000</v>
      </c>
      <c r="X58" s="17">
        <v>1000</v>
      </c>
      <c r="Y58" s="17">
        <v>0</v>
      </c>
      <c r="Z58" s="17">
        <v>0</v>
      </c>
      <c r="AA58" s="17">
        <v>0</v>
      </c>
      <c r="AB58" s="17">
        <v>0</v>
      </c>
      <c r="AC58" s="17">
        <v>3150</v>
      </c>
      <c r="AD58" s="17">
        <v>3150</v>
      </c>
      <c r="AE58" s="20">
        <v>403556.39</v>
      </c>
      <c r="AF58" s="20">
        <v>403556.39</v>
      </c>
      <c r="AG58" s="20">
        <v>0</v>
      </c>
      <c r="AH58" s="20">
        <v>0</v>
      </c>
      <c r="AI58" s="17">
        <v>0</v>
      </c>
      <c r="AJ58" s="17">
        <v>0</v>
      </c>
      <c r="AK58" s="17">
        <v>100</v>
      </c>
      <c r="AL58" s="17">
        <v>90</v>
      </c>
      <c r="AM58" s="17">
        <v>0</v>
      </c>
      <c r="AN58" s="17">
        <v>0</v>
      </c>
      <c r="AO58" s="17">
        <v>3872</v>
      </c>
      <c r="AP58" s="17">
        <v>372</v>
      </c>
      <c r="AQ58" s="17">
        <v>2401</v>
      </c>
      <c r="AR58" s="17">
        <v>771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4140</v>
      </c>
      <c r="BB58" s="17">
        <v>3517</v>
      </c>
      <c r="BC58" s="17">
        <v>2005.03</v>
      </c>
      <c r="BD58" s="17">
        <v>2005.03</v>
      </c>
      <c r="BE58" s="17">
        <v>230</v>
      </c>
      <c r="BF58" s="17">
        <v>230</v>
      </c>
      <c r="BG58" s="17">
        <f t="shared" si="22"/>
        <v>447455.07000000007</v>
      </c>
      <c r="BH58" s="17">
        <f t="shared" si="22"/>
        <v>436442.07000000007</v>
      </c>
      <c r="BI58" s="17">
        <v>2632</v>
      </c>
      <c r="BJ58" s="17">
        <v>2632</v>
      </c>
      <c r="BK58" s="17">
        <v>0</v>
      </c>
      <c r="BL58" s="17">
        <v>0</v>
      </c>
      <c r="BM58" s="17">
        <v>0</v>
      </c>
      <c r="BN58" s="17">
        <v>0</v>
      </c>
      <c r="BO58" s="17">
        <v>414</v>
      </c>
      <c r="BP58" s="17">
        <v>414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f t="shared" si="23"/>
        <v>3046</v>
      </c>
      <c r="BX58" s="17">
        <f t="shared" si="24"/>
        <v>3046</v>
      </c>
      <c r="BY58" s="17">
        <f t="shared" si="25"/>
        <v>450501.07000000007</v>
      </c>
      <c r="BZ58" s="17">
        <f t="shared" si="25"/>
        <v>439488.07000000007</v>
      </c>
    </row>
    <row r="59" spans="1:78" ht="19.5">
      <c r="A59" s="18"/>
      <c r="B59" s="18" t="s">
        <v>97</v>
      </c>
      <c r="C59" s="20">
        <f>205382+21550</f>
        <v>226932</v>
      </c>
      <c r="D59" s="20">
        <f>205382+21550</f>
        <v>226932</v>
      </c>
      <c r="E59" s="17">
        <f>3590.9+20206.74</f>
        <v>23797.640000000003</v>
      </c>
      <c r="F59" s="17">
        <f>3590.9+20206.74</f>
        <v>23797.640000000003</v>
      </c>
      <c r="G59" s="17">
        <f>62079.68+5000+10000+500+510</f>
        <v>78089.68</v>
      </c>
      <c r="H59" s="17">
        <f>63593.68+5000+10000+500+110</f>
        <v>79203.68</v>
      </c>
      <c r="I59" s="17">
        <v>472417.35</v>
      </c>
      <c r="J59" s="17">
        <v>482531.93</v>
      </c>
      <c r="K59" s="17">
        <f>1426.81*100</f>
        <v>142681</v>
      </c>
      <c r="L59" s="17">
        <f>1426.81*100</f>
        <v>142681</v>
      </c>
      <c r="M59" s="17">
        <v>23689.2</v>
      </c>
      <c r="N59" s="17">
        <v>23689.2</v>
      </c>
      <c r="O59" s="17">
        <v>316076.52</v>
      </c>
      <c r="P59" s="17">
        <v>316076.52</v>
      </c>
      <c r="Q59" s="17">
        <v>127168</v>
      </c>
      <c r="R59" s="17">
        <v>107598</v>
      </c>
      <c r="S59" s="17">
        <f>599.72*100</f>
        <v>59972</v>
      </c>
      <c r="T59" s="17">
        <v>59972</v>
      </c>
      <c r="U59" s="17">
        <v>77033.9</v>
      </c>
      <c r="V59" s="17">
        <v>77033.9</v>
      </c>
      <c r="W59" s="17">
        <v>170000</v>
      </c>
      <c r="X59" s="17">
        <v>80000</v>
      </c>
      <c r="Y59" s="17">
        <f>3598.91*100</f>
        <v>359891</v>
      </c>
      <c r="Z59" s="17">
        <f>3598.91*100</f>
        <v>359891</v>
      </c>
      <c r="AA59" s="17">
        <f>625.96*100</f>
        <v>62596</v>
      </c>
      <c r="AB59" s="17">
        <f>625.96*100</f>
        <v>62596</v>
      </c>
      <c r="AC59" s="17">
        <v>206238</v>
      </c>
      <c r="AD59" s="17">
        <v>206238</v>
      </c>
      <c r="AE59" s="20">
        <v>0</v>
      </c>
      <c r="AF59" s="20">
        <v>0</v>
      </c>
      <c r="AG59" s="20">
        <v>26192</v>
      </c>
      <c r="AH59" s="20">
        <v>23978.23</v>
      </c>
      <c r="AI59" s="17">
        <v>27830</v>
      </c>
      <c r="AJ59" s="17">
        <v>28404</v>
      </c>
      <c r="AK59" s="17">
        <v>12214.22</v>
      </c>
      <c r="AL59" s="17">
        <v>8604.76</v>
      </c>
      <c r="AM59" s="17">
        <v>13105</v>
      </c>
      <c r="AN59" s="17">
        <v>17333.53</v>
      </c>
      <c r="AO59" s="17">
        <v>159033</v>
      </c>
      <c r="AP59" s="17">
        <v>131249</v>
      </c>
      <c r="AQ59" s="17">
        <v>60701</v>
      </c>
      <c r="AR59" s="17">
        <v>47500</v>
      </c>
      <c r="AS59" s="17">
        <v>121607.13</v>
      </c>
      <c r="AT59" s="17">
        <v>121607.13</v>
      </c>
      <c r="AU59" s="17">
        <v>7433.51</v>
      </c>
      <c r="AV59" s="17">
        <v>7433.51</v>
      </c>
      <c r="AW59" s="17">
        <f>2206.23*100</f>
        <v>220623</v>
      </c>
      <c r="AX59" s="17">
        <f>1250.19*100</f>
        <v>125019</v>
      </c>
      <c r="AY59" s="17">
        <v>16567.75</v>
      </c>
      <c r="AZ59" s="17">
        <v>18216.74</v>
      </c>
      <c r="BA59" s="17">
        <v>249179</v>
      </c>
      <c r="BB59" s="17">
        <v>300000</v>
      </c>
      <c r="BC59" s="17">
        <v>99678.01</v>
      </c>
      <c r="BD59" s="17">
        <v>99678.01</v>
      </c>
      <c r="BE59" s="17">
        <f>88419.01</f>
        <v>88419.01</v>
      </c>
      <c r="BF59" s="17">
        <f>88419.01</f>
        <v>88419.01</v>
      </c>
      <c r="BG59" s="17">
        <f t="shared" si="22"/>
        <v>3449164.9199999995</v>
      </c>
      <c r="BH59" s="17">
        <f t="shared" si="22"/>
        <v>3265683.789999999</v>
      </c>
      <c r="BI59" s="17">
        <v>16226</v>
      </c>
      <c r="BJ59" s="17">
        <v>16226</v>
      </c>
      <c r="BK59" s="17">
        <v>270</v>
      </c>
      <c r="BL59" s="17">
        <v>247</v>
      </c>
      <c r="BM59" s="17">
        <f>7300+221</f>
        <v>7521</v>
      </c>
      <c r="BN59" s="17">
        <f>7300+221</f>
        <v>7521</v>
      </c>
      <c r="BO59" s="17">
        <v>8059</v>
      </c>
      <c r="BP59" s="17">
        <v>8059</v>
      </c>
      <c r="BQ59" s="17">
        <v>165000</v>
      </c>
      <c r="BR59" s="17">
        <v>165000</v>
      </c>
      <c r="BS59" s="17">
        <v>1200</v>
      </c>
      <c r="BT59" s="17">
        <v>1200</v>
      </c>
      <c r="BU59" s="17">
        <v>24900</v>
      </c>
      <c r="BV59" s="17">
        <v>11046.39</v>
      </c>
      <c r="BW59" s="17">
        <f t="shared" si="23"/>
        <v>223176</v>
      </c>
      <c r="BX59" s="17">
        <f t="shared" si="24"/>
        <v>209299.39</v>
      </c>
      <c r="BY59" s="17">
        <f t="shared" si="25"/>
        <v>3672340.9199999995</v>
      </c>
      <c r="BZ59" s="17">
        <f t="shared" si="25"/>
        <v>3474983.1799999992</v>
      </c>
    </row>
    <row r="60" spans="1:78" ht="19.5">
      <c r="A60" s="18"/>
      <c r="B60" s="18" t="s">
        <v>98</v>
      </c>
      <c r="C60" s="20">
        <v>0</v>
      </c>
      <c r="D60" s="20">
        <v>0</v>
      </c>
      <c r="E60" s="17">
        <v>989</v>
      </c>
      <c r="F60" s="17">
        <v>989</v>
      </c>
      <c r="G60" s="17">
        <f>5502+5+274</f>
        <v>5781</v>
      </c>
      <c r="H60" s="17">
        <f>5442+5</f>
        <v>5447</v>
      </c>
      <c r="I60" s="17">
        <v>1250.85</v>
      </c>
      <c r="J60" s="17">
        <v>1250.85</v>
      </c>
      <c r="K60" s="17">
        <v>0</v>
      </c>
      <c r="L60" s="17">
        <v>0</v>
      </c>
      <c r="M60" s="17">
        <v>9161</v>
      </c>
      <c r="N60" s="17">
        <v>9161</v>
      </c>
      <c r="O60" s="17">
        <v>44000</v>
      </c>
      <c r="P60" s="17">
        <v>44000</v>
      </c>
      <c r="Q60" s="17">
        <v>16500</v>
      </c>
      <c r="R60" s="17">
        <v>16500</v>
      </c>
      <c r="S60" s="17">
        <f>15.65*100</f>
        <v>1565</v>
      </c>
      <c r="T60" s="17">
        <v>1565</v>
      </c>
      <c r="U60" s="17">
        <v>500</v>
      </c>
      <c r="V60" s="17">
        <v>500</v>
      </c>
      <c r="W60" s="17">
        <v>0</v>
      </c>
      <c r="X60" s="17">
        <v>0</v>
      </c>
      <c r="Y60" s="17">
        <f>621.63*100</f>
        <v>62163</v>
      </c>
      <c r="Z60" s="17">
        <f>621.63*100</f>
        <v>62163</v>
      </c>
      <c r="AA60" s="17">
        <f>53.19*100</f>
        <v>5319</v>
      </c>
      <c r="AB60" s="17">
        <f>53.19*100</f>
        <v>5319</v>
      </c>
      <c r="AC60" s="17">
        <v>44808.2</v>
      </c>
      <c r="AD60" s="17">
        <v>44808.2</v>
      </c>
      <c r="AE60" s="20">
        <v>9750</v>
      </c>
      <c r="AF60" s="20">
        <v>9750</v>
      </c>
      <c r="AG60" s="20">
        <v>0</v>
      </c>
      <c r="AH60" s="20">
        <v>0</v>
      </c>
      <c r="AI60" s="17">
        <v>300</v>
      </c>
      <c r="AJ60" s="17">
        <v>300</v>
      </c>
      <c r="AK60" s="17">
        <v>507.34</v>
      </c>
      <c r="AL60" s="17">
        <v>499.34</v>
      </c>
      <c r="AM60" s="17">
        <v>3818</v>
      </c>
      <c r="AN60" s="17">
        <v>3818.33</v>
      </c>
      <c r="AO60" s="17">
        <v>1200</v>
      </c>
      <c r="AP60" s="17">
        <v>600</v>
      </c>
      <c r="AQ60" s="17">
        <v>1860.42</v>
      </c>
      <c r="AR60" s="17">
        <v>50</v>
      </c>
      <c r="AS60" s="17">
        <v>15120.82</v>
      </c>
      <c r="AT60" s="17">
        <v>15120.82</v>
      </c>
      <c r="AU60" s="17">
        <v>221.31</v>
      </c>
      <c r="AV60" s="17">
        <v>221.31</v>
      </c>
      <c r="AW60" s="17">
        <f>267.67*100</f>
        <v>26767</v>
      </c>
      <c r="AX60" s="17">
        <f>142.65*100</f>
        <v>14265</v>
      </c>
      <c r="AY60" s="17">
        <v>59.93</v>
      </c>
      <c r="AZ60" s="17">
        <v>21.27</v>
      </c>
      <c r="BA60" s="17">
        <v>11263</v>
      </c>
      <c r="BB60" s="17">
        <v>6211</v>
      </c>
      <c r="BC60" s="17">
        <v>0</v>
      </c>
      <c r="BD60" s="17">
        <v>0</v>
      </c>
      <c r="BE60" s="17">
        <v>14405.94</v>
      </c>
      <c r="BF60" s="17">
        <v>14405.94</v>
      </c>
      <c r="BG60" s="17">
        <f t="shared" si="22"/>
        <v>277310.81</v>
      </c>
      <c r="BH60" s="17">
        <f t="shared" si="22"/>
        <v>256966.05999999997</v>
      </c>
      <c r="BI60" s="17">
        <v>2168</v>
      </c>
      <c r="BJ60" s="17">
        <v>2168</v>
      </c>
      <c r="BK60" s="17">
        <v>509</v>
      </c>
      <c r="BL60" s="17">
        <f>287+70</f>
        <v>357</v>
      </c>
      <c r="BM60" s="17">
        <v>0</v>
      </c>
      <c r="BN60" s="17">
        <v>0</v>
      </c>
      <c r="BO60" s="17">
        <v>0</v>
      </c>
      <c r="BP60" s="17">
        <v>0</v>
      </c>
      <c r="BQ60" s="17">
        <v>82725</v>
      </c>
      <c r="BR60" s="17">
        <v>82725</v>
      </c>
      <c r="BS60" s="17">
        <v>100</v>
      </c>
      <c r="BT60" s="17">
        <v>100</v>
      </c>
      <c r="BU60" s="17">
        <v>2927</v>
      </c>
      <c r="BV60" s="17">
        <v>927</v>
      </c>
      <c r="BW60" s="17">
        <f t="shared" si="23"/>
        <v>88429</v>
      </c>
      <c r="BX60" s="17">
        <f t="shared" si="24"/>
        <v>86277</v>
      </c>
      <c r="BY60" s="17">
        <f t="shared" si="25"/>
        <v>365739.81</v>
      </c>
      <c r="BZ60" s="17">
        <f t="shared" si="25"/>
        <v>343243.05999999994</v>
      </c>
    </row>
    <row r="61" spans="1:78" ht="19.5">
      <c r="A61" s="18"/>
      <c r="B61" s="18" t="s">
        <v>99</v>
      </c>
      <c r="C61" s="20">
        <v>0</v>
      </c>
      <c r="D61" s="20">
        <v>0</v>
      </c>
      <c r="E61" s="17">
        <v>0</v>
      </c>
      <c r="F61" s="17">
        <v>0</v>
      </c>
      <c r="G61" s="17">
        <v>500</v>
      </c>
      <c r="H61" s="17">
        <f>364+250</f>
        <v>614</v>
      </c>
      <c r="I61" s="17">
        <v>0</v>
      </c>
      <c r="J61" s="17">
        <v>0</v>
      </c>
      <c r="K61" s="17">
        <v>0</v>
      </c>
      <c r="L61" s="17">
        <v>0</v>
      </c>
      <c r="M61" s="17">
        <v>639.65</v>
      </c>
      <c r="N61" s="17">
        <v>639.65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f>111.63*100</f>
        <v>11163</v>
      </c>
      <c r="AB61" s="17">
        <f>111.63*100</f>
        <v>11163</v>
      </c>
      <c r="AC61" s="17">
        <v>0</v>
      </c>
      <c r="AD61" s="17">
        <v>0</v>
      </c>
      <c r="AE61" s="20">
        <v>102.01</v>
      </c>
      <c r="AF61" s="20">
        <v>102.01</v>
      </c>
      <c r="AG61" s="20">
        <v>0</v>
      </c>
      <c r="AH61" s="20">
        <v>0</v>
      </c>
      <c r="AI61" s="17">
        <v>0</v>
      </c>
      <c r="AJ61" s="17">
        <v>0</v>
      </c>
      <c r="AK61" s="17">
        <v>5</v>
      </c>
      <c r="AL61" s="17">
        <v>5</v>
      </c>
      <c r="AM61" s="17">
        <v>0</v>
      </c>
      <c r="AN61" s="17">
        <v>0</v>
      </c>
      <c r="AO61" s="17">
        <v>65</v>
      </c>
      <c r="AP61" s="17">
        <v>25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914.05</v>
      </c>
      <c r="BF61" s="17">
        <v>914.05</v>
      </c>
      <c r="BG61" s="17">
        <f t="shared" si="22"/>
        <v>13388.71</v>
      </c>
      <c r="BH61" s="17">
        <f t="shared" si="22"/>
        <v>13462.71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f t="shared" si="23"/>
        <v>0</v>
      </c>
      <c r="BX61" s="17">
        <f t="shared" si="24"/>
        <v>0</v>
      </c>
      <c r="BY61" s="17">
        <f t="shared" si="25"/>
        <v>13388.71</v>
      </c>
      <c r="BZ61" s="17">
        <f t="shared" si="25"/>
        <v>13462.71</v>
      </c>
    </row>
    <row r="62" spans="1:78" ht="19.5">
      <c r="A62" s="18"/>
      <c r="B62" s="18" t="s">
        <v>100</v>
      </c>
      <c r="C62" s="20">
        <v>54533</v>
      </c>
      <c r="D62" s="20">
        <v>54533</v>
      </c>
      <c r="E62" s="17">
        <f>200+17</f>
        <v>217</v>
      </c>
      <c r="F62" s="17">
        <f>200+17</f>
        <v>217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f>5.2*100</f>
        <v>520</v>
      </c>
      <c r="T62" s="17">
        <v>520</v>
      </c>
      <c r="U62" s="17">
        <v>407</v>
      </c>
      <c r="V62" s="17">
        <v>407</v>
      </c>
      <c r="W62" s="17">
        <v>45500</v>
      </c>
      <c r="X62" s="17">
        <v>66500</v>
      </c>
      <c r="Y62" s="17">
        <f>1*100</f>
        <v>100</v>
      </c>
      <c r="Z62" s="17">
        <f>1*100</f>
        <v>100</v>
      </c>
      <c r="AA62" s="17">
        <f>112.8*100</f>
        <v>11280</v>
      </c>
      <c r="AB62" s="17">
        <f>112.8*100</f>
        <v>11280</v>
      </c>
      <c r="AC62" s="17">
        <v>0</v>
      </c>
      <c r="AD62" s="17">
        <v>0</v>
      </c>
      <c r="AE62" s="20">
        <f>14350+38100</f>
        <v>52450</v>
      </c>
      <c r="AF62" s="20">
        <f>14350+38100</f>
        <v>52450</v>
      </c>
      <c r="AG62" s="20">
        <v>30</v>
      </c>
      <c r="AH62" s="20">
        <v>5</v>
      </c>
      <c r="AI62" s="17">
        <v>1100</v>
      </c>
      <c r="AJ62" s="17">
        <v>1300</v>
      </c>
      <c r="AK62" s="17">
        <v>130</v>
      </c>
      <c r="AL62" s="17">
        <v>121</v>
      </c>
      <c r="AM62" s="17">
        <v>0</v>
      </c>
      <c r="AN62" s="17">
        <v>0</v>
      </c>
      <c r="AO62" s="17">
        <v>1600</v>
      </c>
      <c r="AP62" s="17">
        <v>600</v>
      </c>
      <c r="AQ62" s="17">
        <v>91600</v>
      </c>
      <c r="AR62" s="17">
        <v>91600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53.06</v>
      </c>
      <c r="AZ62" s="17">
        <v>438.16</v>
      </c>
      <c r="BA62" s="17">
        <v>0</v>
      </c>
      <c r="BB62" s="17">
        <v>0</v>
      </c>
      <c r="BC62" s="17">
        <v>14630.58</v>
      </c>
      <c r="BD62" s="17">
        <v>14630.58</v>
      </c>
      <c r="BE62" s="17">
        <v>21625</v>
      </c>
      <c r="BF62" s="17">
        <v>21625</v>
      </c>
      <c r="BG62" s="17">
        <f t="shared" si="22"/>
        <v>295775.64</v>
      </c>
      <c r="BH62" s="17">
        <f t="shared" si="22"/>
        <v>316326.74</v>
      </c>
      <c r="BI62" s="17">
        <v>32671</v>
      </c>
      <c r="BJ62" s="17">
        <v>32671</v>
      </c>
      <c r="BK62" s="17">
        <f>35+40</f>
        <v>75</v>
      </c>
      <c r="BL62" s="17">
        <v>47</v>
      </c>
      <c r="BM62" s="17">
        <v>13</v>
      </c>
      <c r="BN62" s="17">
        <v>13</v>
      </c>
      <c r="BO62" s="17">
        <v>0</v>
      </c>
      <c r="BP62" s="17">
        <v>0</v>
      </c>
      <c r="BQ62" s="17">
        <v>107070</v>
      </c>
      <c r="BR62" s="17">
        <v>107070</v>
      </c>
      <c r="BS62" s="17">
        <v>0</v>
      </c>
      <c r="BT62" s="17">
        <v>0</v>
      </c>
      <c r="BU62" s="17">
        <v>0</v>
      </c>
      <c r="BV62" s="17">
        <v>0</v>
      </c>
      <c r="BW62" s="17">
        <f t="shared" si="23"/>
        <v>139829</v>
      </c>
      <c r="BX62" s="17">
        <f t="shared" si="24"/>
        <v>139801</v>
      </c>
      <c r="BY62" s="17">
        <f t="shared" si="25"/>
        <v>435604.64</v>
      </c>
      <c r="BZ62" s="17">
        <f t="shared" si="25"/>
        <v>456127.74</v>
      </c>
    </row>
    <row r="63" spans="1:78" ht="19.5">
      <c r="A63" s="15"/>
      <c r="B63" s="15" t="s">
        <v>101</v>
      </c>
      <c r="C63" s="23">
        <f aca="true" t="shared" si="26" ref="C63:BZ63">SUM(C57:C62)</f>
        <v>292865</v>
      </c>
      <c r="D63" s="23">
        <f t="shared" si="26"/>
        <v>292865</v>
      </c>
      <c r="E63" s="23">
        <f t="shared" si="26"/>
        <v>25240.290000000005</v>
      </c>
      <c r="F63" s="23">
        <f t="shared" si="26"/>
        <v>25240.290000000005</v>
      </c>
      <c r="G63" s="23">
        <f t="shared" si="26"/>
        <v>84370.68</v>
      </c>
      <c r="H63" s="23">
        <f t="shared" si="26"/>
        <v>85264.68</v>
      </c>
      <c r="I63" s="23">
        <f t="shared" si="26"/>
        <v>474613.19999999995</v>
      </c>
      <c r="J63" s="23">
        <f t="shared" si="26"/>
        <v>484427.77999999997</v>
      </c>
      <c r="K63" s="23">
        <f t="shared" si="26"/>
        <v>144332</v>
      </c>
      <c r="L63" s="23">
        <f t="shared" si="26"/>
        <v>144332</v>
      </c>
      <c r="M63" s="23">
        <f t="shared" si="26"/>
        <v>36468.85</v>
      </c>
      <c r="N63" s="23">
        <f t="shared" si="26"/>
        <v>36468.85</v>
      </c>
      <c r="O63" s="23">
        <f t="shared" si="26"/>
        <v>371076.52</v>
      </c>
      <c r="P63" s="23">
        <f t="shared" si="26"/>
        <v>371076.52</v>
      </c>
      <c r="Q63" s="23">
        <f t="shared" si="26"/>
        <v>143753</v>
      </c>
      <c r="R63" s="23">
        <f t="shared" si="26"/>
        <v>124233</v>
      </c>
      <c r="S63" s="23">
        <f t="shared" si="26"/>
        <v>62190</v>
      </c>
      <c r="T63" s="23">
        <f t="shared" si="26"/>
        <v>62190</v>
      </c>
      <c r="U63" s="23">
        <f t="shared" si="26"/>
        <v>81940.9</v>
      </c>
      <c r="V63" s="23">
        <f t="shared" si="26"/>
        <v>81940.9</v>
      </c>
      <c r="W63" s="23">
        <f t="shared" si="26"/>
        <v>221500</v>
      </c>
      <c r="X63" s="23">
        <f t="shared" si="26"/>
        <v>147500</v>
      </c>
      <c r="Y63" s="23">
        <f t="shared" si="26"/>
        <v>427154</v>
      </c>
      <c r="Z63" s="23">
        <f t="shared" si="26"/>
        <v>427154</v>
      </c>
      <c r="AA63" s="23">
        <f t="shared" si="26"/>
        <v>113439</v>
      </c>
      <c r="AB63" s="23">
        <f t="shared" si="26"/>
        <v>113439</v>
      </c>
      <c r="AC63" s="23">
        <f t="shared" si="26"/>
        <v>254196.2</v>
      </c>
      <c r="AD63" s="23">
        <f t="shared" si="26"/>
        <v>254196.2</v>
      </c>
      <c r="AE63" s="23">
        <f t="shared" si="26"/>
        <v>477548.56</v>
      </c>
      <c r="AF63" s="23">
        <f t="shared" si="26"/>
        <v>477548.56</v>
      </c>
      <c r="AG63" s="23">
        <f t="shared" si="26"/>
        <v>26222</v>
      </c>
      <c r="AH63" s="23">
        <f t="shared" si="26"/>
        <v>23983.23</v>
      </c>
      <c r="AI63" s="23">
        <f t="shared" si="26"/>
        <v>29230</v>
      </c>
      <c r="AJ63" s="23">
        <f t="shared" si="26"/>
        <v>30004</v>
      </c>
      <c r="AK63" s="23">
        <f t="shared" si="26"/>
        <v>12956.56</v>
      </c>
      <c r="AL63" s="23">
        <f t="shared" si="26"/>
        <v>9320.1</v>
      </c>
      <c r="AM63" s="23">
        <f t="shared" si="26"/>
        <v>16923</v>
      </c>
      <c r="AN63" s="23">
        <f t="shared" si="26"/>
        <v>21151.86</v>
      </c>
      <c r="AO63" s="23">
        <f t="shared" si="26"/>
        <v>166175</v>
      </c>
      <c r="AP63" s="23">
        <f t="shared" si="26"/>
        <v>133226</v>
      </c>
      <c r="AQ63" s="23">
        <f t="shared" si="26"/>
        <v>156562.41999999998</v>
      </c>
      <c r="AR63" s="23">
        <f t="shared" si="26"/>
        <v>139921</v>
      </c>
      <c r="AS63" s="23">
        <f t="shared" si="26"/>
        <v>136727.95</v>
      </c>
      <c r="AT63" s="23">
        <f t="shared" si="26"/>
        <v>136727.95</v>
      </c>
      <c r="AU63" s="23">
        <f t="shared" si="26"/>
        <v>7654.820000000001</v>
      </c>
      <c r="AV63" s="23">
        <f t="shared" si="26"/>
        <v>7654.820000000001</v>
      </c>
      <c r="AW63" s="23">
        <f t="shared" si="26"/>
        <v>247390</v>
      </c>
      <c r="AX63" s="23">
        <f t="shared" si="26"/>
        <v>139284</v>
      </c>
      <c r="AY63" s="23">
        <f t="shared" si="26"/>
        <v>16680.74</v>
      </c>
      <c r="AZ63" s="23">
        <f t="shared" si="26"/>
        <v>18676.170000000002</v>
      </c>
      <c r="BA63" s="23">
        <f t="shared" si="26"/>
        <v>264582</v>
      </c>
      <c r="BB63" s="23">
        <f t="shared" si="26"/>
        <v>309728</v>
      </c>
      <c r="BC63" s="23">
        <f t="shared" si="26"/>
        <v>116313.62</v>
      </c>
      <c r="BD63" s="23">
        <f t="shared" si="26"/>
        <v>116313.62</v>
      </c>
      <c r="BE63" s="23">
        <f t="shared" si="26"/>
        <v>125594</v>
      </c>
      <c r="BF63" s="23">
        <f t="shared" si="26"/>
        <v>125594</v>
      </c>
      <c r="BG63" s="23">
        <f t="shared" si="26"/>
        <v>4533700.309999999</v>
      </c>
      <c r="BH63" s="23">
        <f t="shared" si="26"/>
        <v>4339461.529999999</v>
      </c>
      <c r="BI63" s="23">
        <f t="shared" si="26"/>
        <v>55234</v>
      </c>
      <c r="BJ63" s="23">
        <f t="shared" si="26"/>
        <v>55234</v>
      </c>
      <c r="BK63" s="23">
        <f t="shared" si="26"/>
        <v>854</v>
      </c>
      <c r="BL63" s="23">
        <f t="shared" si="26"/>
        <v>651</v>
      </c>
      <c r="BM63" s="23">
        <f t="shared" si="26"/>
        <v>7534</v>
      </c>
      <c r="BN63" s="23">
        <f t="shared" si="26"/>
        <v>7534</v>
      </c>
      <c r="BO63" s="23">
        <f t="shared" si="26"/>
        <v>8683</v>
      </c>
      <c r="BP63" s="23">
        <f t="shared" si="26"/>
        <v>8683</v>
      </c>
      <c r="BQ63" s="23">
        <f t="shared" si="26"/>
        <v>354795</v>
      </c>
      <c r="BR63" s="23">
        <f t="shared" si="26"/>
        <v>354795</v>
      </c>
      <c r="BS63" s="23">
        <f t="shared" si="26"/>
        <v>16200</v>
      </c>
      <c r="BT63" s="23">
        <f t="shared" si="26"/>
        <v>16200</v>
      </c>
      <c r="BU63" s="23">
        <f t="shared" si="26"/>
        <v>28227</v>
      </c>
      <c r="BV63" s="23">
        <f t="shared" si="26"/>
        <v>12348.39</v>
      </c>
      <c r="BW63" s="23">
        <f t="shared" si="26"/>
        <v>471527</v>
      </c>
      <c r="BX63" s="23">
        <f t="shared" si="26"/>
        <v>455445.39</v>
      </c>
      <c r="BY63" s="23">
        <f t="shared" si="26"/>
        <v>5005227.309999999</v>
      </c>
      <c r="BZ63" s="23">
        <f t="shared" si="26"/>
        <v>4794906.919999999</v>
      </c>
    </row>
    <row r="64" spans="1:78" ht="19.5">
      <c r="A64" s="18"/>
      <c r="B64" s="18"/>
      <c r="C64" s="16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20"/>
      <c r="AF64" s="20"/>
      <c r="AG64" s="20"/>
      <c r="AH64" s="20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</row>
    <row r="65" spans="1:78" ht="19.5">
      <c r="A65" s="15" t="s">
        <v>102</v>
      </c>
      <c r="B65" s="15" t="s">
        <v>103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20"/>
      <c r="AF65" s="20"/>
      <c r="AG65" s="20"/>
      <c r="AH65" s="20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</row>
    <row r="66" spans="1:78" ht="19.5">
      <c r="A66" s="18"/>
      <c r="B66" s="18" t="s">
        <v>104</v>
      </c>
      <c r="C66" s="20">
        <v>52.5</v>
      </c>
      <c r="D66" s="20">
        <v>52.5</v>
      </c>
      <c r="E66" s="17">
        <v>602.28</v>
      </c>
      <c r="F66" s="17">
        <v>602.28</v>
      </c>
      <c r="G66" s="17">
        <v>1595</v>
      </c>
      <c r="H66" s="17">
        <v>1063</v>
      </c>
      <c r="I66" s="17">
        <v>800</v>
      </c>
      <c r="J66" s="17">
        <v>800</v>
      </c>
      <c r="K66" s="17">
        <f>9.7*100</f>
        <v>969.9999999999999</v>
      </c>
      <c r="L66" s="17">
        <f>9.7*100</f>
        <v>969.9999999999999</v>
      </c>
      <c r="M66" s="17">
        <v>223.4</v>
      </c>
      <c r="N66" s="17">
        <v>223.4</v>
      </c>
      <c r="O66" s="17">
        <v>14127.58</v>
      </c>
      <c r="P66" s="17">
        <v>14127.58</v>
      </c>
      <c r="Q66" s="17">
        <v>850</v>
      </c>
      <c r="R66" s="17">
        <v>1900</v>
      </c>
      <c r="S66" s="17">
        <f>8.5*100</f>
        <v>850</v>
      </c>
      <c r="T66" s="17">
        <v>850</v>
      </c>
      <c r="U66" s="17">
        <v>350</v>
      </c>
      <c r="V66" s="17">
        <v>350</v>
      </c>
      <c r="W66" s="17">
        <v>100</v>
      </c>
      <c r="X66" s="17">
        <v>100</v>
      </c>
      <c r="Y66" s="17">
        <f>38.18*100</f>
        <v>3818</v>
      </c>
      <c r="Z66" s="17">
        <f>38.18*100</f>
        <v>3818</v>
      </c>
      <c r="AA66" s="17">
        <f>76.42*100</f>
        <v>7642</v>
      </c>
      <c r="AB66" s="17">
        <f>76.42*100</f>
        <v>7642</v>
      </c>
      <c r="AC66" s="17">
        <v>2352</v>
      </c>
      <c r="AD66" s="17">
        <v>2352</v>
      </c>
      <c r="AE66" s="20">
        <v>750</v>
      </c>
      <c r="AF66" s="20">
        <v>750</v>
      </c>
      <c r="AG66" s="20">
        <v>163</v>
      </c>
      <c r="AH66" s="20">
        <v>113</v>
      </c>
      <c r="AI66" s="17">
        <v>335</v>
      </c>
      <c r="AJ66" s="17">
        <v>335</v>
      </c>
      <c r="AK66" s="17">
        <v>197</v>
      </c>
      <c r="AL66" s="17">
        <v>197</v>
      </c>
      <c r="AM66" s="17">
        <v>150</v>
      </c>
      <c r="AN66" s="17">
        <v>150</v>
      </c>
      <c r="AO66" s="17">
        <v>2351.05</v>
      </c>
      <c r="AP66" s="17">
        <v>2350</v>
      </c>
      <c r="AQ66" s="17">
        <v>490</v>
      </c>
      <c r="AR66" s="17">
        <v>395.16</v>
      </c>
      <c r="AS66" s="17">
        <v>610.22</v>
      </c>
      <c r="AT66" s="17">
        <v>610.22</v>
      </c>
      <c r="AU66" s="17">
        <v>88.52</v>
      </c>
      <c r="AV66" s="17">
        <v>88.52</v>
      </c>
      <c r="AW66" s="17">
        <f>4.81*100</f>
        <v>480.99999999999994</v>
      </c>
      <c r="AX66" s="17">
        <f>5.83*100</f>
        <v>583</v>
      </c>
      <c r="AY66" s="17">
        <v>146.93</v>
      </c>
      <c r="AZ66" s="17">
        <v>132.77</v>
      </c>
      <c r="BA66" s="17">
        <v>1774</v>
      </c>
      <c r="BB66" s="17">
        <v>1000</v>
      </c>
      <c r="BC66" s="17">
        <f>1000+172.5+650+1000</f>
        <v>2822.5</v>
      </c>
      <c r="BD66" s="17">
        <f>1000+172.5+650+1000</f>
        <v>2822.5</v>
      </c>
      <c r="BE66" s="17">
        <v>2480</v>
      </c>
      <c r="BF66" s="17">
        <v>2480</v>
      </c>
      <c r="BG66" s="17">
        <f aca="true" t="shared" si="27" ref="BG66:BH69">+C66+E66+G66+I66+K66+M66+O66+Q66+S66+U66+W66+Y66+AA66+AC66+AE66+AG66+AI66+AK66+AM66+AO66+AQ66+AS66+AU66+AW66+AY66+BA66+BC66+BE66</f>
        <v>47171.979999999996</v>
      </c>
      <c r="BH66" s="17">
        <f t="shared" si="27"/>
        <v>46857.92999999999</v>
      </c>
      <c r="BI66" s="17">
        <v>66</v>
      </c>
      <c r="BJ66" s="17">
        <v>66</v>
      </c>
      <c r="BK66" s="17">
        <v>47</v>
      </c>
      <c r="BL66" s="17">
        <v>47</v>
      </c>
      <c r="BM66" s="17">
        <v>20</v>
      </c>
      <c r="BN66" s="17">
        <v>20</v>
      </c>
      <c r="BO66" s="17">
        <v>58</v>
      </c>
      <c r="BP66" s="17">
        <v>58</v>
      </c>
      <c r="BQ66" s="17">
        <v>10</v>
      </c>
      <c r="BR66" s="17">
        <v>10</v>
      </c>
      <c r="BS66" s="17">
        <v>2000</v>
      </c>
      <c r="BT66" s="17">
        <v>2000</v>
      </c>
      <c r="BU66" s="17">
        <v>100</v>
      </c>
      <c r="BV66" s="17">
        <v>100</v>
      </c>
      <c r="BW66" s="17">
        <f aca="true" t="shared" si="28" ref="BW66:BX69">SUM(BI66+BK66+BM66+BO66+BQ66+BS66+BU66)</f>
        <v>2301</v>
      </c>
      <c r="BX66" s="17">
        <f t="shared" si="28"/>
        <v>2301</v>
      </c>
      <c r="BY66" s="17">
        <f aca="true" t="shared" si="29" ref="BY66:BZ69">+BW66+BG66</f>
        <v>49472.979999999996</v>
      </c>
      <c r="BZ66" s="17">
        <f t="shared" si="29"/>
        <v>49158.92999999999</v>
      </c>
    </row>
    <row r="67" spans="1:78" ht="19.5">
      <c r="A67" s="18"/>
      <c r="B67" s="18" t="s">
        <v>105</v>
      </c>
      <c r="C67" s="20">
        <f>100+50+60</f>
        <v>210</v>
      </c>
      <c r="D67" s="20">
        <f>100+50+60</f>
        <v>210</v>
      </c>
      <c r="E67" s="17">
        <v>976.41</v>
      </c>
      <c r="F67" s="17">
        <v>976.41</v>
      </c>
      <c r="G67" s="17">
        <v>6710</v>
      </c>
      <c r="H67" s="17">
        <v>6354</v>
      </c>
      <c r="I67" s="17">
        <v>20721.51</v>
      </c>
      <c r="J67" s="17">
        <v>14585.98</v>
      </c>
      <c r="K67" s="17">
        <f>36.53*100</f>
        <v>3653</v>
      </c>
      <c r="L67" s="17">
        <f>36.53*100</f>
        <v>3653</v>
      </c>
      <c r="M67" s="17">
        <v>5728</v>
      </c>
      <c r="N67" s="17">
        <v>5728</v>
      </c>
      <c r="O67" s="17">
        <f>8032+50506.67</f>
        <v>58538.67</v>
      </c>
      <c r="P67" s="17">
        <f>8032+50506.67</f>
        <v>58538.67</v>
      </c>
      <c r="Q67" s="17">
        <v>2402</v>
      </c>
      <c r="R67" s="17">
        <v>2402</v>
      </c>
      <c r="S67" s="17">
        <f>17.41*100</f>
        <v>1741</v>
      </c>
      <c r="T67" s="17">
        <v>1741</v>
      </c>
      <c r="U67" s="17">
        <v>982.2</v>
      </c>
      <c r="V67" s="17">
        <v>982.2</v>
      </c>
      <c r="W67" s="17">
        <v>6100</v>
      </c>
      <c r="X67" s="17">
        <v>3100</v>
      </c>
      <c r="Y67" s="17">
        <f>127.78*100</f>
        <v>12778</v>
      </c>
      <c r="Z67" s="17">
        <f>127.78*100</f>
        <v>12778</v>
      </c>
      <c r="AA67" s="17">
        <f>173.39*100</f>
        <v>17339</v>
      </c>
      <c r="AB67" s="17">
        <f>173.39*100</f>
        <v>17339</v>
      </c>
      <c r="AC67" s="17">
        <v>2817</v>
      </c>
      <c r="AD67" s="17">
        <v>2817</v>
      </c>
      <c r="AE67" s="20">
        <v>500</v>
      </c>
      <c r="AF67" s="20">
        <v>500</v>
      </c>
      <c r="AG67" s="20">
        <v>746</v>
      </c>
      <c r="AH67" s="20">
        <v>579.8</v>
      </c>
      <c r="AI67" s="17">
        <v>1300</v>
      </c>
      <c r="AJ67" s="17">
        <v>1300</v>
      </c>
      <c r="AK67" s="17">
        <v>380</v>
      </c>
      <c r="AL67" s="17">
        <v>219.63</v>
      </c>
      <c r="AM67" s="17">
        <v>800</v>
      </c>
      <c r="AN67" s="17">
        <v>800</v>
      </c>
      <c r="AO67" s="17">
        <v>10983.4</v>
      </c>
      <c r="AP67" s="17">
        <v>7642</v>
      </c>
      <c r="AQ67" s="17">
        <v>2450.05</v>
      </c>
      <c r="AR67" s="17">
        <v>2704</v>
      </c>
      <c r="AS67" s="17">
        <v>0</v>
      </c>
      <c r="AT67" s="17">
        <v>0</v>
      </c>
      <c r="AU67" s="17">
        <v>221.39</v>
      </c>
      <c r="AV67" s="17">
        <v>221.39</v>
      </c>
      <c r="AW67" s="17">
        <f>17.76*100</f>
        <v>1776.0000000000002</v>
      </c>
      <c r="AX67" s="17">
        <f>16.76*100</f>
        <v>1676.0000000000002</v>
      </c>
      <c r="AY67" s="17">
        <v>400.85</v>
      </c>
      <c r="AZ67" s="17">
        <v>16.48</v>
      </c>
      <c r="BA67" s="17">
        <v>0</v>
      </c>
      <c r="BB67" s="17">
        <v>0</v>
      </c>
      <c r="BC67" s="17">
        <v>1376</v>
      </c>
      <c r="BD67" s="17">
        <v>1376</v>
      </c>
      <c r="BE67" s="17">
        <v>8936</v>
      </c>
      <c r="BF67" s="17">
        <v>8936</v>
      </c>
      <c r="BG67" s="17">
        <f t="shared" si="27"/>
        <v>170566.47999999998</v>
      </c>
      <c r="BH67" s="17">
        <f t="shared" si="27"/>
        <v>157176.56000000003</v>
      </c>
      <c r="BI67" s="17">
        <v>396</v>
      </c>
      <c r="BJ67" s="17">
        <v>396</v>
      </c>
      <c r="BK67" s="17">
        <v>896</v>
      </c>
      <c r="BL67" s="17">
        <v>815</v>
      </c>
      <c r="BM67" s="17">
        <v>0</v>
      </c>
      <c r="BN67" s="17">
        <v>0</v>
      </c>
      <c r="BO67" s="17">
        <v>245</v>
      </c>
      <c r="BP67" s="17">
        <v>245</v>
      </c>
      <c r="BQ67" s="17">
        <v>4500</v>
      </c>
      <c r="BR67" s="17">
        <v>4500</v>
      </c>
      <c r="BS67" s="17">
        <v>1500</v>
      </c>
      <c r="BT67" s="17">
        <v>1500</v>
      </c>
      <c r="BU67" s="17">
        <v>232.4</v>
      </c>
      <c r="BV67" s="17">
        <v>219.81</v>
      </c>
      <c r="BW67" s="17">
        <f t="shared" si="28"/>
        <v>7769.4</v>
      </c>
      <c r="BX67" s="17">
        <f t="shared" si="28"/>
        <v>7675.81</v>
      </c>
      <c r="BY67" s="17">
        <f t="shared" si="29"/>
        <v>178335.87999999998</v>
      </c>
      <c r="BZ67" s="17">
        <f t="shared" si="29"/>
        <v>164852.37000000002</v>
      </c>
    </row>
    <row r="68" spans="1:78" ht="19.5">
      <c r="A68" s="18"/>
      <c r="B68" s="18" t="s">
        <v>106</v>
      </c>
      <c r="C68" s="20">
        <v>500</v>
      </c>
      <c r="D68" s="20">
        <v>500</v>
      </c>
      <c r="E68" s="17">
        <v>30</v>
      </c>
      <c r="F68" s="17">
        <v>30</v>
      </c>
      <c r="G68" s="17">
        <v>20</v>
      </c>
      <c r="H68" s="17">
        <v>20</v>
      </c>
      <c r="I68" s="17">
        <v>2707.9</v>
      </c>
      <c r="J68" s="17">
        <v>1207.9</v>
      </c>
      <c r="K68" s="17">
        <f>0.5*100</f>
        <v>50</v>
      </c>
      <c r="L68" s="17">
        <f>0.5*100</f>
        <v>50</v>
      </c>
      <c r="M68" s="17">
        <v>299</v>
      </c>
      <c r="N68" s="17">
        <v>299</v>
      </c>
      <c r="O68" s="17">
        <v>9199</v>
      </c>
      <c r="P68" s="17">
        <v>9199</v>
      </c>
      <c r="Q68" s="17">
        <v>300</v>
      </c>
      <c r="R68" s="17">
        <v>243.22</v>
      </c>
      <c r="S68" s="17">
        <f>0.5*100</f>
        <v>50</v>
      </c>
      <c r="T68" s="17">
        <v>50</v>
      </c>
      <c r="U68" s="17">
        <v>100</v>
      </c>
      <c r="V68" s="17">
        <v>100</v>
      </c>
      <c r="W68" s="17">
        <v>0</v>
      </c>
      <c r="X68" s="17">
        <v>0</v>
      </c>
      <c r="Y68" s="17">
        <f>11.8*100</f>
        <v>1180</v>
      </c>
      <c r="Z68" s="17">
        <f>11.8*100</f>
        <v>1180</v>
      </c>
      <c r="AA68" s="17">
        <f>15.22*100</f>
        <v>1522</v>
      </c>
      <c r="AB68" s="17">
        <f>15.22*100</f>
        <v>1522</v>
      </c>
      <c r="AC68" s="17">
        <v>1440</v>
      </c>
      <c r="AD68" s="17">
        <v>1440</v>
      </c>
      <c r="AE68" s="20">
        <v>1600</v>
      </c>
      <c r="AF68" s="20">
        <v>1600</v>
      </c>
      <c r="AG68" s="20">
        <v>1735</v>
      </c>
      <c r="AH68" s="20">
        <v>1885</v>
      </c>
      <c r="AI68" s="20">
        <v>135</v>
      </c>
      <c r="AJ68" s="20">
        <v>135</v>
      </c>
      <c r="AK68" s="17">
        <v>4</v>
      </c>
      <c r="AL68" s="17">
        <v>4</v>
      </c>
      <c r="AM68" s="17">
        <v>0</v>
      </c>
      <c r="AN68" s="17">
        <v>0</v>
      </c>
      <c r="AO68" s="17">
        <v>2126</v>
      </c>
      <c r="AP68" s="17">
        <v>2275</v>
      </c>
      <c r="AQ68" s="17">
        <v>1141.5</v>
      </c>
      <c r="AR68" s="17">
        <v>638</v>
      </c>
      <c r="AS68" s="17">
        <v>2441.56</v>
      </c>
      <c r="AT68" s="17">
        <v>2441.56</v>
      </c>
      <c r="AU68" s="17">
        <v>18.44</v>
      </c>
      <c r="AV68" s="17">
        <v>18.44</v>
      </c>
      <c r="AW68" s="17">
        <f>4.18*100</f>
        <v>418</v>
      </c>
      <c r="AX68" s="17">
        <f>4.18*100</f>
        <v>418</v>
      </c>
      <c r="AY68" s="17">
        <v>50</v>
      </c>
      <c r="AZ68" s="17">
        <v>35.83</v>
      </c>
      <c r="BA68" s="17">
        <v>374</v>
      </c>
      <c r="BB68" s="17">
        <v>100</v>
      </c>
      <c r="BC68" s="17">
        <v>0</v>
      </c>
      <c r="BD68" s="17">
        <v>0</v>
      </c>
      <c r="BE68" s="17">
        <v>2400</v>
      </c>
      <c r="BF68" s="17">
        <v>2400</v>
      </c>
      <c r="BG68" s="17">
        <f t="shared" si="27"/>
        <v>29841.4</v>
      </c>
      <c r="BH68" s="17">
        <f t="shared" si="27"/>
        <v>27791.95</v>
      </c>
      <c r="BI68" s="17">
        <v>0</v>
      </c>
      <c r="BJ68" s="17">
        <v>0</v>
      </c>
      <c r="BK68" s="17">
        <v>330</v>
      </c>
      <c r="BL68" s="17">
        <v>296</v>
      </c>
      <c r="BM68" s="17">
        <v>0</v>
      </c>
      <c r="BN68" s="17">
        <v>0</v>
      </c>
      <c r="BO68" s="17">
        <v>8</v>
      </c>
      <c r="BP68" s="17">
        <v>8</v>
      </c>
      <c r="BQ68" s="17">
        <v>1140</v>
      </c>
      <c r="BR68" s="17">
        <v>1140</v>
      </c>
      <c r="BS68" s="17">
        <v>300</v>
      </c>
      <c r="BT68" s="17">
        <v>300</v>
      </c>
      <c r="BU68" s="17">
        <v>75</v>
      </c>
      <c r="BV68" s="17">
        <v>75</v>
      </c>
      <c r="BW68" s="17">
        <f t="shared" si="28"/>
        <v>1853</v>
      </c>
      <c r="BX68" s="17">
        <f t="shared" si="28"/>
        <v>1819</v>
      </c>
      <c r="BY68" s="17">
        <f t="shared" si="29"/>
        <v>31694.4</v>
      </c>
      <c r="BZ68" s="17">
        <f t="shared" si="29"/>
        <v>29610.95</v>
      </c>
    </row>
    <row r="69" spans="1:78" ht="19.5">
      <c r="A69" s="28"/>
      <c r="B69" s="28" t="s">
        <v>107</v>
      </c>
      <c r="C69" s="20">
        <v>5211</v>
      </c>
      <c r="D69" s="20">
        <v>5211</v>
      </c>
      <c r="E69" s="17">
        <v>3590</v>
      </c>
      <c r="F69" s="17">
        <v>3590</v>
      </c>
      <c r="G69" s="17">
        <f>6616+331+100</f>
        <v>7047</v>
      </c>
      <c r="H69" s="17">
        <f>7111+331+100</f>
        <v>7542</v>
      </c>
      <c r="I69" s="17">
        <v>1754.5</v>
      </c>
      <c r="J69" s="17">
        <v>1754.5</v>
      </c>
      <c r="K69" s="17">
        <f>328.5*100</f>
        <v>32850</v>
      </c>
      <c r="L69" s="17">
        <f>328.5*100</f>
        <v>32850</v>
      </c>
      <c r="M69" s="17">
        <v>1682.25</v>
      </c>
      <c r="N69" s="17">
        <v>1682.25</v>
      </c>
      <c r="O69" s="17">
        <v>6453.1</v>
      </c>
      <c r="P69" s="17">
        <v>6453.1</v>
      </c>
      <c r="Q69" s="17">
        <f>13950+200+500</f>
        <v>14650</v>
      </c>
      <c r="R69" s="17">
        <f>13950+200+500</f>
        <v>14650</v>
      </c>
      <c r="S69" s="17">
        <f>120.08*100</f>
        <v>12008</v>
      </c>
      <c r="T69" s="17">
        <v>12008</v>
      </c>
      <c r="U69" s="17">
        <v>2250</v>
      </c>
      <c r="V69" s="17">
        <v>2250</v>
      </c>
      <c r="W69" s="17">
        <v>11200.16</v>
      </c>
      <c r="X69" s="17">
        <v>11200.16</v>
      </c>
      <c r="Y69" s="17">
        <f>177.59*100</f>
        <v>17759</v>
      </c>
      <c r="Z69" s="17">
        <f>177.59*100</f>
        <v>17759</v>
      </c>
      <c r="AA69" s="17">
        <f>75.37*100</f>
        <v>7537</v>
      </c>
      <c r="AB69" s="17">
        <f>75.37*100</f>
        <v>7537</v>
      </c>
      <c r="AC69" s="17">
        <v>43858.34</v>
      </c>
      <c r="AD69" s="17">
        <v>43858.34</v>
      </c>
      <c r="AE69" s="20">
        <f>26441.08+1247.68</f>
        <v>27688.760000000002</v>
      </c>
      <c r="AF69" s="20">
        <f>26441.08+1247.68</f>
        <v>27688.760000000002</v>
      </c>
      <c r="AG69" s="20">
        <v>4429</v>
      </c>
      <c r="AH69" s="20">
        <v>4305.2</v>
      </c>
      <c r="AI69" s="17">
        <v>4250</v>
      </c>
      <c r="AJ69" s="17">
        <v>3970</v>
      </c>
      <c r="AK69" s="17">
        <v>2974.4</v>
      </c>
      <c r="AL69" s="17">
        <v>2994.58</v>
      </c>
      <c r="AM69" s="17">
        <v>4019</v>
      </c>
      <c r="AN69" s="17">
        <v>4019</v>
      </c>
      <c r="AO69" s="17">
        <v>19498</v>
      </c>
      <c r="AP69" s="17">
        <v>19066</v>
      </c>
      <c r="AQ69" s="17">
        <v>1920.38</v>
      </c>
      <c r="AR69" s="17">
        <v>1427.58</v>
      </c>
      <c r="AS69" s="17">
        <v>11567.54</v>
      </c>
      <c r="AT69" s="17">
        <v>11567.54</v>
      </c>
      <c r="AU69" s="17">
        <v>6501.04</v>
      </c>
      <c r="AV69" s="17">
        <v>6501.04</v>
      </c>
      <c r="AW69" s="17">
        <f>131.87*100</f>
        <v>13187</v>
      </c>
      <c r="AX69" s="17">
        <f>135.01*100</f>
        <v>13501</v>
      </c>
      <c r="AY69" s="17">
        <v>6189.94</v>
      </c>
      <c r="AZ69" s="17">
        <v>4137.89</v>
      </c>
      <c r="BA69" s="17">
        <v>14423</v>
      </c>
      <c r="BB69" s="17">
        <v>13500</v>
      </c>
      <c r="BC69" s="17">
        <v>14500</v>
      </c>
      <c r="BD69" s="17">
        <v>14500</v>
      </c>
      <c r="BE69" s="17">
        <v>10628</v>
      </c>
      <c r="BF69" s="17">
        <v>10628</v>
      </c>
      <c r="BG69" s="17">
        <f t="shared" si="27"/>
        <v>309626.41000000003</v>
      </c>
      <c r="BH69" s="17">
        <f t="shared" si="27"/>
        <v>306151.94000000006</v>
      </c>
      <c r="BI69" s="17">
        <v>2792</v>
      </c>
      <c r="BJ69" s="17">
        <v>2792</v>
      </c>
      <c r="BK69" s="17">
        <v>749</v>
      </c>
      <c r="BL69" s="17">
        <v>2355</v>
      </c>
      <c r="BM69" s="17">
        <v>574</v>
      </c>
      <c r="BN69" s="17">
        <v>574</v>
      </c>
      <c r="BO69" s="17">
        <v>474</v>
      </c>
      <c r="BP69" s="17">
        <v>474</v>
      </c>
      <c r="BQ69" s="17">
        <v>2800</v>
      </c>
      <c r="BR69" s="17">
        <v>2800</v>
      </c>
      <c r="BS69" s="17">
        <v>100</v>
      </c>
      <c r="BT69" s="17">
        <v>100</v>
      </c>
      <c r="BU69" s="17">
        <v>290</v>
      </c>
      <c r="BV69" s="17">
        <v>200</v>
      </c>
      <c r="BW69" s="17">
        <f t="shared" si="28"/>
        <v>7779</v>
      </c>
      <c r="BX69" s="17">
        <f t="shared" si="28"/>
        <v>9295</v>
      </c>
      <c r="BY69" s="17">
        <f t="shared" si="29"/>
        <v>317405.41000000003</v>
      </c>
      <c r="BZ69" s="17">
        <f t="shared" si="29"/>
        <v>315446.94000000006</v>
      </c>
    </row>
    <row r="70" spans="1:78" ht="19.5">
      <c r="A70" s="15"/>
      <c r="B70" s="15" t="s">
        <v>108</v>
      </c>
      <c r="C70" s="23">
        <f aca="true" t="shared" si="30" ref="C70:AH70">SUM(C66:C69)</f>
        <v>5973.5</v>
      </c>
      <c r="D70" s="23">
        <f t="shared" si="30"/>
        <v>5973.5</v>
      </c>
      <c r="E70" s="23">
        <f t="shared" si="30"/>
        <v>5198.6900000000005</v>
      </c>
      <c r="F70" s="23">
        <f t="shared" si="30"/>
        <v>5198.6900000000005</v>
      </c>
      <c r="G70" s="23">
        <f t="shared" si="30"/>
        <v>15372</v>
      </c>
      <c r="H70" s="23">
        <f t="shared" si="30"/>
        <v>14979</v>
      </c>
      <c r="I70" s="23">
        <f t="shared" si="30"/>
        <v>25983.91</v>
      </c>
      <c r="J70" s="23">
        <f t="shared" si="30"/>
        <v>18348.38</v>
      </c>
      <c r="K70" s="23">
        <f t="shared" si="30"/>
        <v>37523</v>
      </c>
      <c r="L70" s="23">
        <f t="shared" si="30"/>
        <v>37523</v>
      </c>
      <c r="M70" s="23">
        <f t="shared" si="30"/>
        <v>7932.65</v>
      </c>
      <c r="N70" s="23">
        <f t="shared" si="30"/>
        <v>7932.65</v>
      </c>
      <c r="O70" s="23">
        <f t="shared" si="30"/>
        <v>88318.35</v>
      </c>
      <c r="P70" s="23">
        <f t="shared" si="30"/>
        <v>88318.35</v>
      </c>
      <c r="Q70" s="23">
        <f t="shared" si="30"/>
        <v>18202</v>
      </c>
      <c r="R70" s="23">
        <f t="shared" si="30"/>
        <v>19195.22</v>
      </c>
      <c r="S70" s="23">
        <f t="shared" si="30"/>
        <v>14649</v>
      </c>
      <c r="T70" s="23">
        <f t="shared" si="30"/>
        <v>14649</v>
      </c>
      <c r="U70" s="23">
        <f t="shared" si="30"/>
        <v>3682.2</v>
      </c>
      <c r="V70" s="23">
        <f t="shared" si="30"/>
        <v>3682.2</v>
      </c>
      <c r="W70" s="23">
        <f t="shared" si="30"/>
        <v>17400.16</v>
      </c>
      <c r="X70" s="23">
        <f t="shared" si="30"/>
        <v>14400.16</v>
      </c>
      <c r="Y70" s="23">
        <f t="shared" si="30"/>
        <v>35535</v>
      </c>
      <c r="Z70" s="23">
        <f t="shared" si="30"/>
        <v>35535</v>
      </c>
      <c r="AA70" s="23">
        <f t="shared" si="30"/>
        <v>34040</v>
      </c>
      <c r="AB70" s="23">
        <f t="shared" si="30"/>
        <v>34040</v>
      </c>
      <c r="AC70" s="23">
        <f t="shared" si="30"/>
        <v>50467.34</v>
      </c>
      <c r="AD70" s="23">
        <f t="shared" si="30"/>
        <v>50467.34</v>
      </c>
      <c r="AE70" s="23">
        <f t="shared" si="30"/>
        <v>30538.760000000002</v>
      </c>
      <c r="AF70" s="23">
        <f t="shared" si="30"/>
        <v>30538.760000000002</v>
      </c>
      <c r="AG70" s="23">
        <f t="shared" si="30"/>
        <v>7073</v>
      </c>
      <c r="AH70" s="23">
        <f t="shared" si="30"/>
        <v>6883</v>
      </c>
      <c r="AI70" s="23">
        <f aca="true" t="shared" si="31" ref="AI70:BN70">SUM(AI66:AI69)</f>
        <v>6020</v>
      </c>
      <c r="AJ70" s="23">
        <f t="shared" si="31"/>
        <v>5740</v>
      </c>
      <c r="AK70" s="23">
        <f t="shared" si="31"/>
        <v>3555.4</v>
      </c>
      <c r="AL70" s="23">
        <f t="shared" si="31"/>
        <v>3415.21</v>
      </c>
      <c r="AM70" s="23">
        <f t="shared" si="31"/>
        <v>4969</v>
      </c>
      <c r="AN70" s="23">
        <f t="shared" si="31"/>
        <v>4969</v>
      </c>
      <c r="AO70" s="23">
        <f t="shared" si="31"/>
        <v>34958.45</v>
      </c>
      <c r="AP70" s="23">
        <f t="shared" si="31"/>
        <v>31333</v>
      </c>
      <c r="AQ70" s="23">
        <f t="shared" si="31"/>
        <v>6001.93</v>
      </c>
      <c r="AR70" s="23">
        <f t="shared" si="31"/>
        <v>5164.74</v>
      </c>
      <c r="AS70" s="23">
        <f t="shared" si="31"/>
        <v>14619.32</v>
      </c>
      <c r="AT70" s="23">
        <f t="shared" si="31"/>
        <v>14619.32</v>
      </c>
      <c r="AU70" s="23">
        <f t="shared" si="31"/>
        <v>6829.39</v>
      </c>
      <c r="AV70" s="23">
        <f t="shared" si="31"/>
        <v>6829.39</v>
      </c>
      <c r="AW70" s="23">
        <f t="shared" si="31"/>
        <v>15862</v>
      </c>
      <c r="AX70" s="23">
        <f t="shared" si="31"/>
        <v>16178</v>
      </c>
      <c r="AY70" s="23">
        <f t="shared" si="31"/>
        <v>6787.719999999999</v>
      </c>
      <c r="AZ70" s="23">
        <f t="shared" si="31"/>
        <v>4322.97</v>
      </c>
      <c r="BA70" s="23">
        <f t="shared" si="31"/>
        <v>16571</v>
      </c>
      <c r="BB70" s="23">
        <f t="shared" si="31"/>
        <v>14600</v>
      </c>
      <c r="BC70" s="23">
        <f t="shared" si="31"/>
        <v>18698.5</v>
      </c>
      <c r="BD70" s="23">
        <f t="shared" si="31"/>
        <v>18698.5</v>
      </c>
      <c r="BE70" s="23">
        <f t="shared" si="31"/>
        <v>24444</v>
      </c>
      <c r="BF70" s="23">
        <f t="shared" si="31"/>
        <v>24444</v>
      </c>
      <c r="BG70" s="23">
        <f t="shared" si="31"/>
        <v>557206.27</v>
      </c>
      <c r="BH70" s="23">
        <f t="shared" si="31"/>
        <v>537978.3800000001</v>
      </c>
      <c r="BI70" s="23">
        <f t="shared" si="31"/>
        <v>3254</v>
      </c>
      <c r="BJ70" s="23">
        <f t="shared" si="31"/>
        <v>3254</v>
      </c>
      <c r="BK70" s="23">
        <f t="shared" si="31"/>
        <v>2022</v>
      </c>
      <c r="BL70" s="23">
        <f t="shared" si="31"/>
        <v>3513</v>
      </c>
      <c r="BM70" s="23">
        <f t="shared" si="31"/>
        <v>594</v>
      </c>
      <c r="BN70" s="23">
        <f t="shared" si="31"/>
        <v>594</v>
      </c>
      <c r="BO70" s="23">
        <f aca="true" t="shared" si="32" ref="BO70:BX70">SUM(BO66:BO69)</f>
        <v>785</v>
      </c>
      <c r="BP70" s="23">
        <f t="shared" si="32"/>
        <v>785</v>
      </c>
      <c r="BQ70" s="23">
        <f t="shared" si="32"/>
        <v>8450</v>
      </c>
      <c r="BR70" s="23">
        <f t="shared" si="32"/>
        <v>8450</v>
      </c>
      <c r="BS70" s="23">
        <f t="shared" si="32"/>
        <v>3900</v>
      </c>
      <c r="BT70" s="23">
        <f t="shared" si="32"/>
        <v>3900</v>
      </c>
      <c r="BU70" s="23">
        <f t="shared" si="32"/>
        <v>697.4</v>
      </c>
      <c r="BV70" s="23">
        <f t="shared" si="32"/>
        <v>594.81</v>
      </c>
      <c r="BW70" s="23">
        <f t="shared" si="32"/>
        <v>19702.4</v>
      </c>
      <c r="BX70" s="23">
        <f t="shared" si="32"/>
        <v>21090.81</v>
      </c>
      <c r="BY70" s="23">
        <f>SUM(BY66:BY69)</f>
        <v>576908.67</v>
      </c>
      <c r="BZ70" s="23">
        <f>SUM(BZ66:BZ69)</f>
        <v>559069.1900000001</v>
      </c>
    </row>
    <row r="71" spans="1:78" ht="19.5">
      <c r="A71" s="18"/>
      <c r="B71" s="18"/>
      <c r="C71" s="16"/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20"/>
      <c r="AF71" s="20"/>
      <c r="AG71" s="20"/>
      <c r="AH71" s="20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1:78" ht="19.5">
      <c r="A72" s="15" t="s">
        <v>109</v>
      </c>
      <c r="B72" s="15" t="s">
        <v>110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20"/>
      <c r="AF72" s="20"/>
      <c r="AG72" s="20"/>
      <c r="AH72" s="20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</row>
    <row r="73" spans="1:78" ht="19.5">
      <c r="A73" s="18"/>
      <c r="B73" s="18" t="s">
        <v>111</v>
      </c>
      <c r="C73" s="20">
        <v>112699.5</v>
      </c>
      <c r="D73" s="20">
        <v>112699.5</v>
      </c>
      <c r="E73" s="17">
        <v>2479</v>
      </c>
      <c r="F73" s="17">
        <v>2479</v>
      </c>
      <c r="G73" s="17">
        <v>16232.43</v>
      </c>
      <c r="H73" s="17">
        <v>8876.72</v>
      </c>
      <c r="I73" s="17">
        <v>2045</v>
      </c>
      <c r="J73" s="17">
        <v>583.35</v>
      </c>
      <c r="K73" s="17">
        <f>45.5*100</f>
        <v>4550</v>
      </c>
      <c r="L73" s="17">
        <f>45.5*100</f>
        <v>4550</v>
      </c>
      <c r="M73" s="17">
        <v>2940</v>
      </c>
      <c r="N73" s="17">
        <v>2940</v>
      </c>
      <c r="O73" s="17">
        <v>960.59</v>
      </c>
      <c r="P73" s="17">
        <v>960.59</v>
      </c>
      <c r="Q73" s="17">
        <v>210</v>
      </c>
      <c r="R73" s="17">
        <v>210</v>
      </c>
      <c r="S73" s="17">
        <f>3*100</f>
        <v>300</v>
      </c>
      <c r="T73" s="17">
        <v>300</v>
      </c>
      <c r="U73" s="17">
        <v>66015.73</v>
      </c>
      <c r="V73" s="17">
        <v>66015.73</v>
      </c>
      <c r="W73" s="17">
        <f>6017+4282.3</f>
        <v>10299.3</v>
      </c>
      <c r="X73" s="17">
        <f>6017+4282.84+14746</f>
        <v>25045.84</v>
      </c>
      <c r="Y73" s="17">
        <f>1*100</f>
        <v>100</v>
      </c>
      <c r="Z73" s="17">
        <f>1*100</f>
        <v>100</v>
      </c>
      <c r="AA73" s="17">
        <f>93.26*100</f>
        <v>9326</v>
      </c>
      <c r="AB73" s="17">
        <f>93.26*100</f>
        <v>9326</v>
      </c>
      <c r="AC73" s="17">
        <v>25344.7</v>
      </c>
      <c r="AD73" s="17">
        <v>25344.7</v>
      </c>
      <c r="AE73" s="20">
        <v>830</v>
      </c>
      <c r="AF73" s="20">
        <v>830</v>
      </c>
      <c r="AG73" s="20">
        <f>5655+11508.57+40000+30000+3+80</f>
        <v>87246.57</v>
      </c>
      <c r="AH73" s="20">
        <f>11469.73+30000+2+44</f>
        <v>41515.729999999996</v>
      </c>
      <c r="AI73" s="17">
        <v>4292</v>
      </c>
      <c r="AJ73" s="17">
        <v>4292</v>
      </c>
      <c r="AK73" s="17">
        <v>5680.39</v>
      </c>
      <c r="AL73" s="17">
        <v>973.75</v>
      </c>
      <c r="AM73" s="17">
        <f>43912.24+284</f>
        <v>44196.24</v>
      </c>
      <c r="AN73" s="17">
        <f>15775.81+284</f>
        <v>16059.81</v>
      </c>
      <c r="AO73" s="17">
        <v>362</v>
      </c>
      <c r="AP73" s="17">
        <v>362</v>
      </c>
      <c r="AQ73" s="17">
        <v>23804.6</v>
      </c>
      <c r="AR73" s="17">
        <f>8460.2+15292</f>
        <v>23752.2</v>
      </c>
      <c r="AS73" s="17">
        <v>5902.75</v>
      </c>
      <c r="AT73" s="17">
        <v>5902.75</v>
      </c>
      <c r="AU73" s="17">
        <f>126.76+10150</f>
        <v>10276.76</v>
      </c>
      <c r="AV73" s="17">
        <f>126.76+10150</f>
        <v>10276.76</v>
      </c>
      <c r="AW73" s="17">
        <f>2.83*100</f>
        <v>283</v>
      </c>
      <c r="AX73" s="17">
        <f>8.02*100</f>
        <v>802</v>
      </c>
      <c r="AY73" s="17">
        <v>8849.16</v>
      </c>
      <c r="AZ73" s="17">
        <v>913.14</v>
      </c>
      <c r="BA73" s="17">
        <v>143545</v>
      </c>
      <c r="BB73" s="17">
        <v>70970</v>
      </c>
      <c r="BC73" s="17">
        <v>2170</v>
      </c>
      <c r="BD73" s="17">
        <v>2170</v>
      </c>
      <c r="BE73" s="17">
        <v>244.98</v>
      </c>
      <c r="BF73" s="17">
        <v>244.98</v>
      </c>
      <c r="BG73" s="17">
        <f aca="true" t="shared" si="33" ref="BG73:BH77">+C73+E73+G73+I73+K73+M73+O73+Q73+S73+U73+W73+Y73+AA73+AC73+AE73+AG73+AI73+AK73+AM73+AO73+AQ73+AS73+AU73+AW73+AY73+BA73+BC73+BE73</f>
        <v>591185.7</v>
      </c>
      <c r="BH73" s="17">
        <f t="shared" si="33"/>
        <v>438496.55000000005</v>
      </c>
      <c r="BI73" s="17">
        <v>451</v>
      </c>
      <c r="BJ73" s="17">
        <v>451</v>
      </c>
      <c r="BK73" s="17">
        <v>1</v>
      </c>
      <c r="BL73" s="17">
        <v>1</v>
      </c>
      <c r="BM73" s="17">
        <v>5</v>
      </c>
      <c r="BN73" s="17">
        <v>5</v>
      </c>
      <c r="BO73" s="17">
        <v>1</v>
      </c>
      <c r="BP73" s="17">
        <v>1</v>
      </c>
      <c r="BQ73" s="17">
        <v>130</v>
      </c>
      <c r="BR73" s="17">
        <v>130</v>
      </c>
      <c r="BS73" s="17">
        <v>7</v>
      </c>
      <c r="BT73" s="17">
        <v>7</v>
      </c>
      <c r="BU73" s="17">
        <v>1615</v>
      </c>
      <c r="BV73" s="17">
        <v>82.35</v>
      </c>
      <c r="BW73" s="17">
        <f aca="true" t="shared" si="34" ref="BW73:BX77">SUM(BI73+BK73+BM73+BO73+BQ73+BS73+BU73)</f>
        <v>2210</v>
      </c>
      <c r="BX73" s="17">
        <f t="shared" si="34"/>
        <v>677.35</v>
      </c>
      <c r="BY73" s="17">
        <f aca="true" t="shared" si="35" ref="BY73:BZ77">+BW73+BG73</f>
        <v>593395.7</v>
      </c>
      <c r="BZ73" s="17">
        <f t="shared" si="35"/>
        <v>439173.9</v>
      </c>
    </row>
    <row r="74" spans="1:78" ht="19.5">
      <c r="A74" s="18"/>
      <c r="B74" s="18" t="s">
        <v>112</v>
      </c>
      <c r="C74" s="20">
        <v>1055</v>
      </c>
      <c r="D74" s="20">
        <v>1055</v>
      </c>
      <c r="E74" s="17">
        <v>1100</v>
      </c>
      <c r="F74" s="17">
        <v>1100</v>
      </c>
      <c r="G74" s="17">
        <v>3615</v>
      </c>
      <c r="H74" s="17">
        <v>3332.26</v>
      </c>
      <c r="I74" s="17">
        <v>3043.89</v>
      </c>
      <c r="J74" s="17">
        <v>3043.89</v>
      </c>
      <c r="K74" s="17">
        <f>47.85*100</f>
        <v>4785</v>
      </c>
      <c r="L74" s="17">
        <f>47.85*100</f>
        <v>4785</v>
      </c>
      <c r="M74" s="17">
        <v>6096</v>
      </c>
      <c r="N74" s="17">
        <v>6096</v>
      </c>
      <c r="O74" s="17">
        <v>26909</v>
      </c>
      <c r="P74" s="17">
        <v>26909</v>
      </c>
      <c r="Q74" s="17">
        <v>2000</v>
      </c>
      <c r="R74" s="17">
        <v>2000</v>
      </c>
      <c r="S74" s="17">
        <f>17.35*100</f>
        <v>1735.0000000000002</v>
      </c>
      <c r="T74" s="17">
        <v>1735</v>
      </c>
      <c r="U74" s="17">
        <v>13917.28</v>
      </c>
      <c r="V74" s="17">
        <v>13917.28</v>
      </c>
      <c r="W74" s="17">
        <v>2500</v>
      </c>
      <c r="X74" s="17">
        <v>2500</v>
      </c>
      <c r="Y74" s="17">
        <f>240*100</f>
        <v>24000</v>
      </c>
      <c r="Z74" s="17">
        <f>240*100</f>
        <v>24000</v>
      </c>
      <c r="AA74" s="17">
        <f>153*100</f>
        <v>15300</v>
      </c>
      <c r="AB74" s="17">
        <f>153*100</f>
        <v>15300</v>
      </c>
      <c r="AC74" s="17">
        <v>7271.5</v>
      </c>
      <c r="AD74" s="17">
        <v>7271.5</v>
      </c>
      <c r="AE74" s="20">
        <v>48548.23</v>
      </c>
      <c r="AF74" s="20">
        <v>48548.23</v>
      </c>
      <c r="AG74" s="20">
        <v>300</v>
      </c>
      <c r="AH74" s="20">
        <v>1160.57</v>
      </c>
      <c r="AI74" s="17">
        <v>1600</v>
      </c>
      <c r="AJ74" s="17">
        <v>1835</v>
      </c>
      <c r="AK74" s="17">
        <v>332.31</v>
      </c>
      <c r="AL74" s="17">
        <v>335.54</v>
      </c>
      <c r="AM74" s="17">
        <v>1300</v>
      </c>
      <c r="AN74" s="17">
        <v>1709</v>
      </c>
      <c r="AO74" s="17">
        <v>4000</v>
      </c>
      <c r="AP74" s="17">
        <v>3880</v>
      </c>
      <c r="AQ74" s="17">
        <v>2239</v>
      </c>
      <c r="AR74" s="17">
        <v>541.43</v>
      </c>
      <c r="AS74" s="17">
        <v>2811</v>
      </c>
      <c r="AT74" s="17">
        <v>2811</v>
      </c>
      <c r="AU74" s="17">
        <v>9670.76</v>
      </c>
      <c r="AV74" s="17">
        <v>9670.76</v>
      </c>
      <c r="AW74" s="17">
        <f>18.8*100</f>
        <v>1880</v>
      </c>
      <c r="AX74" s="17">
        <f>30.67*100</f>
        <v>3067</v>
      </c>
      <c r="AY74" s="17">
        <v>277.7</v>
      </c>
      <c r="AZ74" s="17">
        <v>237.99</v>
      </c>
      <c r="BA74" s="17">
        <v>6037</v>
      </c>
      <c r="BB74" s="17">
        <v>2607</v>
      </c>
      <c r="BC74" s="17">
        <v>11108.14</v>
      </c>
      <c r="BD74" s="17">
        <v>11108.14</v>
      </c>
      <c r="BE74" s="17">
        <v>4300</v>
      </c>
      <c r="BF74" s="17">
        <v>4300</v>
      </c>
      <c r="BG74" s="17">
        <f t="shared" si="33"/>
        <v>207731.81</v>
      </c>
      <c r="BH74" s="17">
        <f t="shared" si="33"/>
        <v>204856.59000000003</v>
      </c>
      <c r="BI74" s="17">
        <v>4600</v>
      </c>
      <c r="BJ74" s="17">
        <v>4600</v>
      </c>
      <c r="BK74" s="17">
        <v>461</v>
      </c>
      <c r="BL74" s="17">
        <v>490</v>
      </c>
      <c r="BM74" s="17">
        <v>1003</v>
      </c>
      <c r="BN74" s="17">
        <v>1003</v>
      </c>
      <c r="BO74" s="17">
        <v>1639</v>
      </c>
      <c r="BP74" s="17">
        <v>1639</v>
      </c>
      <c r="BQ74" s="17">
        <v>1550</v>
      </c>
      <c r="BR74" s="17">
        <v>1550</v>
      </c>
      <c r="BS74" s="17">
        <v>440</v>
      </c>
      <c r="BT74" s="17">
        <v>440</v>
      </c>
      <c r="BU74" s="17">
        <v>9270</v>
      </c>
      <c r="BV74" s="17">
        <v>2448.9</v>
      </c>
      <c r="BW74" s="17">
        <f t="shared" si="34"/>
        <v>18963</v>
      </c>
      <c r="BX74" s="17">
        <f t="shared" si="34"/>
        <v>12170.9</v>
      </c>
      <c r="BY74" s="17">
        <f t="shared" si="35"/>
        <v>226694.81</v>
      </c>
      <c r="BZ74" s="17">
        <f t="shared" si="35"/>
        <v>217027.49000000002</v>
      </c>
    </row>
    <row r="75" spans="1:78" ht="19.5">
      <c r="A75" s="18"/>
      <c r="B75" s="18" t="s">
        <v>113</v>
      </c>
      <c r="C75" s="20">
        <v>495.5</v>
      </c>
      <c r="D75" s="20">
        <v>495.5</v>
      </c>
      <c r="E75" s="17">
        <v>350.2</v>
      </c>
      <c r="F75" s="17">
        <v>350.2</v>
      </c>
      <c r="G75" s="17">
        <v>1300</v>
      </c>
      <c r="H75" s="17">
        <v>455</v>
      </c>
      <c r="I75" s="17">
        <v>7700</v>
      </c>
      <c r="J75" s="17">
        <v>1700</v>
      </c>
      <c r="K75" s="17">
        <f>18.62*100</f>
        <v>1862</v>
      </c>
      <c r="L75" s="17">
        <f>18.62*100</f>
        <v>1862</v>
      </c>
      <c r="M75" s="17">
        <v>415.2</v>
      </c>
      <c r="N75" s="17">
        <v>415.2</v>
      </c>
      <c r="O75" s="17">
        <v>9757.83</v>
      </c>
      <c r="P75" s="17">
        <v>9757.83</v>
      </c>
      <c r="Q75" s="17">
        <v>16</v>
      </c>
      <c r="R75" s="17">
        <v>16</v>
      </c>
      <c r="S75" s="17">
        <f>2.4*100</f>
        <v>240</v>
      </c>
      <c r="T75" s="17">
        <v>240</v>
      </c>
      <c r="U75" s="17">
        <v>13978.23</v>
      </c>
      <c r="V75" s="17">
        <v>13978.23</v>
      </c>
      <c r="W75" s="17">
        <v>0</v>
      </c>
      <c r="X75" s="17">
        <v>0</v>
      </c>
      <c r="Y75" s="17">
        <f>0.2*100</f>
        <v>20</v>
      </c>
      <c r="Z75" s="17">
        <f>0.2*100</f>
        <v>20</v>
      </c>
      <c r="AA75" s="17">
        <f>4.1*100</f>
        <v>409.99999999999994</v>
      </c>
      <c r="AB75" s="17">
        <f>4.1*100</f>
        <v>409.99999999999994</v>
      </c>
      <c r="AC75" s="17">
        <v>36916.9</v>
      </c>
      <c r="AD75" s="17">
        <v>36916.9</v>
      </c>
      <c r="AE75" s="20">
        <v>0</v>
      </c>
      <c r="AF75" s="20">
        <v>0</v>
      </c>
      <c r="AG75" s="20">
        <v>113</v>
      </c>
      <c r="AH75" s="20">
        <v>93</v>
      </c>
      <c r="AI75" s="17">
        <v>250</v>
      </c>
      <c r="AJ75" s="17">
        <v>250</v>
      </c>
      <c r="AK75" s="17">
        <v>240</v>
      </c>
      <c r="AL75" s="17">
        <v>236.6</v>
      </c>
      <c r="AM75" s="17">
        <v>650</v>
      </c>
      <c r="AN75" s="17">
        <v>700</v>
      </c>
      <c r="AO75" s="17">
        <f>300+36.5</f>
        <v>336.5</v>
      </c>
      <c r="AP75" s="17">
        <v>300</v>
      </c>
      <c r="AQ75" s="17">
        <v>299.6</v>
      </c>
      <c r="AR75" s="17">
        <v>195.5</v>
      </c>
      <c r="AS75" s="17">
        <v>223.26</v>
      </c>
      <c r="AT75" s="17">
        <v>223.26</v>
      </c>
      <c r="AU75" s="17">
        <v>182.86</v>
      </c>
      <c r="AV75" s="17">
        <v>182.86</v>
      </c>
      <c r="AW75" s="17">
        <f>6.44*100</f>
        <v>644</v>
      </c>
      <c r="AX75" s="17">
        <f>0.82*100</f>
        <v>82</v>
      </c>
      <c r="AY75" s="17">
        <v>17.68</v>
      </c>
      <c r="AZ75" s="17">
        <v>12.55</v>
      </c>
      <c r="BA75" s="17">
        <v>192</v>
      </c>
      <c r="BB75" s="17">
        <v>84</v>
      </c>
      <c r="BC75" s="17">
        <v>161.02</v>
      </c>
      <c r="BD75" s="17">
        <v>161.02</v>
      </c>
      <c r="BE75" s="17">
        <v>4200</v>
      </c>
      <c r="BF75" s="17">
        <v>4200</v>
      </c>
      <c r="BG75" s="17">
        <f t="shared" si="33"/>
        <v>80971.78000000001</v>
      </c>
      <c r="BH75" s="17">
        <f t="shared" si="33"/>
        <v>73337.65000000001</v>
      </c>
      <c r="BI75" s="17">
        <v>90</v>
      </c>
      <c r="BJ75" s="17">
        <v>90</v>
      </c>
      <c r="BK75" s="17">
        <v>1</v>
      </c>
      <c r="BL75" s="17">
        <v>0</v>
      </c>
      <c r="BM75" s="17">
        <v>4</v>
      </c>
      <c r="BN75" s="17">
        <v>4</v>
      </c>
      <c r="BO75" s="17">
        <v>7</v>
      </c>
      <c r="BP75" s="17">
        <v>7</v>
      </c>
      <c r="BQ75" s="17">
        <v>0</v>
      </c>
      <c r="BR75" s="17">
        <v>0</v>
      </c>
      <c r="BS75" s="17">
        <v>40</v>
      </c>
      <c r="BT75" s="17">
        <v>40</v>
      </c>
      <c r="BU75" s="17">
        <v>50</v>
      </c>
      <c r="BV75" s="17">
        <v>27</v>
      </c>
      <c r="BW75" s="17">
        <f t="shared" si="34"/>
        <v>192</v>
      </c>
      <c r="BX75" s="17">
        <f t="shared" si="34"/>
        <v>168</v>
      </c>
      <c r="BY75" s="17">
        <f t="shared" si="35"/>
        <v>81163.78000000001</v>
      </c>
      <c r="BZ75" s="17">
        <f t="shared" si="35"/>
        <v>73505.65000000001</v>
      </c>
    </row>
    <row r="76" spans="1:78" ht="19.5">
      <c r="A76" s="18"/>
      <c r="B76" s="18" t="s">
        <v>114</v>
      </c>
      <c r="C76" s="20">
        <v>8767.5</v>
      </c>
      <c r="D76" s="20">
        <v>8767.5</v>
      </c>
      <c r="E76" s="17">
        <v>417.25</v>
      </c>
      <c r="F76" s="17">
        <v>417.25</v>
      </c>
      <c r="G76" s="17">
        <v>383</v>
      </c>
      <c r="H76" s="17">
        <v>383</v>
      </c>
      <c r="I76" s="17">
        <v>31983.97</v>
      </c>
      <c r="J76" s="17">
        <v>30733.97</v>
      </c>
      <c r="K76" s="17">
        <f>500.16*100</f>
        <v>50016</v>
      </c>
      <c r="L76" s="17">
        <f>500.16*100</f>
        <v>50016</v>
      </c>
      <c r="M76" s="17">
        <v>204</v>
      </c>
      <c r="N76" s="17">
        <v>204</v>
      </c>
      <c r="O76" s="17">
        <v>23081.26</v>
      </c>
      <c r="P76" s="17">
        <v>23081.26</v>
      </c>
      <c r="Q76" s="17">
        <v>0</v>
      </c>
      <c r="R76" s="17">
        <v>0</v>
      </c>
      <c r="S76" s="17">
        <f>0.06*100</f>
        <v>6</v>
      </c>
      <c r="T76" s="17">
        <v>6</v>
      </c>
      <c r="U76" s="17">
        <v>0</v>
      </c>
      <c r="V76" s="17">
        <v>0</v>
      </c>
      <c r="W76" s="17">
        <v>73281</v>
      </c>
      <c r="X76" s="17">
        <v>98690</v>
      </c>
      <c r="Y76" s="17">
        <v>0</v>
      </c>
      <c r="Z76" s="17">
        <v>0</v>
      </c>
      <c r="AA76" s="17">
        <f>85.24*100</f>
        <v>8524</v>
      </c>
      <c r="AB76" s="17">
        <f>85.24*100</f>
        <v>8524</v>
      </c>
      <c r="AC76" s="17">
        <v>650</v>
      </c>
      <c r="AD76" s="17">
        <v>650</v>
      </c>
      <c r="AE76" s="20">
        <v>0</v>
      </c>
      <c r="AF76" s="20">
        <v>0</v>
      </c>
      <c r="AG76" s="20">
        <v>0</v>
      </c>
      <c r="AH76" s="20">
        <v>0</v>
      </c>
      <c r="AI76" s="17">
        <v>150</v>
      </c>
      <c r="AJ76" s="17">
        <v>150</v>
      </c>
      <c r="AK76" s="17">
        <v>358</v>
      </c>
      <c r="AL76" s="17">
        <v>346.44</v>
      </c>
      <c r="AM76" s="17">
        <v>217</v>
      </c>
      <c r="AN76" s="17">
        <v>217</v>
      </c>
      <c r="AO76" s="17">
        <v>334.4</v>
      </c>
      <c r="AP76" s="17">
        <v>334.4</v>
      </c>
      <c r="AQ76" s="17">
        <v>2364.13</v>
      </c>
      <c r="AR76" s="17">
        <v>860</v>
      </c>
      <c r="AS76" s="17">
        <v>750.01</v>
      </c>
      <c r="AT76" s="17">
        <v>750.01</v>
      </c>
      <c r="AU76" s="17">
        <v>416.29</v>
      </c>
      <c r="AV76" s="17">
        <v>416.29</v>
      </c>
      <c r="AW76" s="17">
        <f>1250*100</f>
        <v>125000</v>
      </c>
      <c r="AX76" s="17">
        <f>1371.19*100</f>
        <v>137119</v>
      </c>
      <c r="AY76" s="17">
        <v>26.53</v>
      </c>
      <c r="AZ76" s="17">
        <v>17.6</v>
      </c>
      <c r="BA76" s="17">
        <v>0</v>
      </c>
      <c r="BB76" s="17">
        <v>0</v>
      </c>
      <c r="BC76" s="17">
        <v>1067.31</v>
      </c>
      <c r="BD76" s="17">
        <v>1067.31</v>
      </c>
      <c r="BE76" s="17">
        <v>1061.24</v>
      </c>
      <c r="BF76" s="17">
        <v>1061.24</v>
      </c>
      <c r="BG76" s="17">
        <f t="shared" si="33"/>
        <v>329058.89</v>
      </c>
      <c r="BH76" s="17">
        <f t="shared" si="33"/>
        <v>363812.26999999996</v>
      </c>
      <c r="BI76" s="17">
        <v>527</v>
      </c>
      <c r="BJ76" s="17">
        <v>527</v>
      </c>
      <c r="BK76" s="17">
        <v>85</v>
      </c>
      <c r="BL76" s="17">
        <v>194</v>
      </c>
      <c r="BM76" s="17">
        <v>10</v>
      </c>
      <c r="BN76" s="17">
        <v>10</v>
      </c>
      <c r="BO76" s="17">
        <v>3</v>
      </c>
      <c r="BP76" s="17">
        <v>3</v>
      </c>
      <c r="BQ76" s="17">
        <v>0</v>
      </c>
      <c r="BR76" s="17">
        <v>0</v>
      </c>
      <c r="BS76" s="17">
        <v>400</v>
      </c>
      <c r="BT76" s="17">
        <v>400</v>
      </c>
      <c r="BU76" s="17">
        <v>1742.16</v>
      </c>
      <c r="BV76" s="17">
        <v>1265</v>
      </c>
      <c r="BW76" s="17">
        <f t="shared" si="34"/>
        <v>2767.16</v>
      </c>
      <c r="BX76" s="17">
        <f t="shared" si="34"/>
        <v>2399</v>
      </c>
      <c r="BY76" s="17">
        <f t="shared" si="35"/>
        <v>331826.05</v>
      </c>
      <c r="BZ76" s="17">
        <f t="shared" si="35"/>
        <v>366211.26999999996</v>
      </c>
    </row>
    <row r="77" spans="1:78" ht="19.5">
      <c r="A77" s="18"/>
      <c r="B77" s="18" t="s">
        <v>115</v>
      </c>
      <c r="C77" s="20">
        <v>25</v>
      </c>
      <c r="D77" s="20">
        <v>25</v>
      </c>
      <c r="E77" s="17">
        <f>166787.03+80+6000+2470+24+833.16</f>
        <v>176194.19</v>
      </c>
      <c r="F77" s="17">
        <f>166787.03+80+6000+2470+24+833.16</f>
        <v>176194.19</v>
      </c>
      <c r="G77" s="17">
        <f>15+5040+32+6320</f>
        <v>11407</v>
      </c>
      <c r="H77" s="17">
        <f>15+5040+23+4420</f>
        <v>9498</v>
      </c>
      <c r="I77" s="17">
        <v>52066</v>
      </c>
      <c r="J77" s="17">
        <v>36016.15</v>
      </c>
      <c r="K77" s="17">
        <f>0.86*100</f>
        <v>86</v>
      </c>
      <c r="L77" s="17">
        <f>0.86*100</f>
        <v>86</v>
      </c>
      <c r="M77" s="17">
        <f>167+510</f>
        <v>677</v>
      </c>
      <c r="N77" s="17">
        <f>167+510</f>
        <v>677</v>
      </c>
      <c r="O77" s="17">
        <v>93318.74</v>
      </c>
      <c r="P77" s="17">
        <v>93318.74</v>
      </c>
      <c r="Q77" s="17">
        <v>23213.3</v>
      </c>
      <c r="R77" s="17">
        <v>23213.3</v>
      </c>
      <c r="S77" s="17">
        <f>49.36*100</f>
        <v>4936</v>
      </c>
      <c r="T77" s="17">
        <f>4935+1</f>
        <v>4936</v>
      </c>
      <c r="U77" s="17">
        <f>70+6050</f>
        <v>6120</v>
      </c>
      <c r="V77" s="17">
        <f>70+6050</f>
        <v>6120</v>
      </c>
      <c r="W77" s="17">
        <v>0</v>
      </c>
      <c r="X77" s="17">
        <v>0</v>
      </c>
      <c r="Y77" s="17">
        <f>825.6*100</f>
        <v>82560</v>
      </c>
      <c r="Z77" s="17">
        <f>825.6*100</f>
        <v>82560</v>
      </c>
      <c r="AA77" s="17">
        <f>2.15*100</f>
        <v>215</v>
      </c>
      <c r="AB77" s="17">
        <f>2.15*100</f>
        <v>215</v>
      </c>
      <c r="AC77" s="17">
        <v>20</v>
      </c>
      <c r="AD77" s="17">
        <v>20</v>
      </c>
      <c r="AE77" s="20">
        <f>17710.01+100+1000+5700</f>
        <v>24510.01</v>
      </c>
      <c r="AF77" s="20">
        <f>17710.01+100+1000+5700</f>
        <v>24510.01</v>
      </c>
      <c r="AG77" s="20">
        <f>656.8+13435+25</f>
        <v>14116.8</v>
      </c>
      <c r="AH77" s="20">
        <f>616.8+13435+15</f>
        <v>14066.8</v>
      </c>
      <c r="AI77" s="17">
        <f>360+85+500+350+2000+3100+1500+100+6875+500+1500+1500+500+1950</f>
        <v>20820</v>
      </c>
      <c r="AJ77" s="17">
        <f>191+85+500+350+2000+3100+1500+4000+500+1500+1500+500+1950</f>
        <v>17676</v>
      </c>
      <c r="AK77" s="17">
        <f>110+2216+1813+1410+135</f>
        <v>5684</v>
      </c>
      <c r="AL77" s="17">
        <f>111+2341+2343+1479+126.68</f>
        <v>6400.68</v>
      </c>
      <c r="AM77" s="17">
        <v>270</v>
      </c>
      <c r="AN77" s="17">
        <v>336</v>
      </c>
      <c r="AO77" s="17">
        <v>47105.1</v>
      </c>
      <c r="AP77" s="17">
        <f>36.5+6120+17.6+75+19100+2000+600+150</f>
        <v>28099.1</v>
      </c>
      <c r="AQ77" s="17">
        <v>0</v>
      </c>
      <c r="AR77" s="17">
        <v>0</v>
      </c>
      <c r="AS77" s="17">
        <f>39.6+0.01+50+8999.99+6000</f>
        <v>15089.6</v>
      </c>
      <c r="AT77" s="17">
        <f>39.6+0.01+50+8999.99+6000</f>
        <v>15089.6</v>
      </c>
      <c r="AU77" s="17">
        <v>0</v>
      </c>
      <c r="AV77" s="17">
        <v>0</v>
      </c>
      <c r="AW77" s="17">
        <f>0.05*100</f>
        <v>5</v>
      </c>
      <c r="AX77" s="17">
        <v>0</v>
      </c>
      <c r="AY77" s="17">
        <f>11.25+1.4</f>
        <v>12.65</v>
      </c>
      <c r="AZ77" s="17">
        <f>12.24+1.29</f>
        <v>13.530000000000001</v>
      </c>
      <c r="BA77" s="17">
        <v>112980</v>
      </c>
      <c r="BB77" s="17">
        <v>20000</v>
      </c>
      <c r="BC77" s="17">
        <v>0</v>
      </c>
      <c r="BD77" s="17">
        <v>0</v>
      </c>
      <c r="BE77" s="17">
        <v>1452.76</v>
      </c>
      <c r="BF77" s="17">
        <v>1452.76</v>
      </c>
      <c r="BG77" s="17">
        <f t="shared" si="33"/>
        <v>692884.15</v>
      </c>
      <c r="BH77" s="17">
        <f t="shared" si="33"/>
        <v>560523.86</v>
      </c>
      <c r="BI77" s="17">
        <v>0</v>
      </c>
      <c r="BJ77" s="17">
        <v>0</v>
      </c>
      <c r="BK77" s="17">
        <v>1</v>
      </c>
      <c r="BL77" s="17">
        <v>0</v>
      </c>
      <c r="BM77" s="17">
        <f>1+40</f>
        <v>41</v>
      </c>
      <c r="BN77" s="17">
        <f>1+40</f>
        <v>41</v>
      </c>
      <c r="BO77" s="17">
        <f>2+2</f>
        <v>4</v>
      </c>
      <c r="BP77" s="17">
        <f>2+2</f>
        <v>4</v>
      </c>
      <c r="BQ77" s="17">
        <v>0</v>
      </c>
      <c r="BR77" s="17">
        <v>0</v>
      </c>
      <c r="BS77" s="17">
        <v>3</v>
      </c>
      <c r="BT77" s="17">
        <v>3</v>
      </c>
      <c r="BU77" s="17">
        <v>5</v>
      </c>
      <c r="BV77" s="17">
        <v>8.65</v>
      </c>
      <c r="BW77" s="17">
        <f t="shared" si="34"/>
        <v>54</v>
      </c>
      <c r="BX77" s="17">
        <f t="shared" si="34"/>
        <v>56.65</v>
      </c>
      <c r="BY77" s="17">
        <f t="shared" si="35"/>
        <v>692938.15</v>
      </c>
      <c r="BZ77" s="17">
        <f t="shared" si="35"/>
        <v>560580.51</v>
      </c>
    </row>
    <row r="78" spans="1:78" ht="19.5">
      <c r="A78" s="15"/>
      <c r="B78" s="15" t="s">
        <v>116</v>
      </c>
      <c r="C78" s="23">
        <f aca="true" t="shared" si="36" ref="C78:BZ78">SUM(C73:C77)</f>
        <v>123042.5</v>
      </c>
      <c r="D78" s="23">
        <f t="shared" si="36"/>
        <v>123042.5</v>
      </c>
      <c r="E78" s="23">
        <f t="shared" si="36"/>
        <v>180540.64</v>
      </c>
      <c r="F78" s="23">
        <f t="shared" si="36"/>
        <v>180540.64</v>
      </c>
      <c r="G78" s="23">
        <f t="shared" si="36"/>
        <v>32937.43</v>
      </c>
      <c r="H78" s="23">
        <f t="shared" si="36"/>
        <v>22544.98</v>
      </c>
      <c r="I78" s="23">
        <f t="shared" si="36"/>
        <v>96838.86</v>
      </c>
      <c r="J78" s="23">
        <f t="shared" si="36"/>
        <v>72077.36</v>
      </c>
      <c r="K78" s="23">
        <f t="shared" si="36"/>
        <v>61299</v>
      </c>
      <c r="L78" s="23">
        <f t="shared" si="36"/>
        <v>61299</v>
      </c>
      <c r="M78" s="23">
        <f t="shared" si="36"/>
        <v>10332.2</v>
      </c>
      <c r="N78" s="23">
        <f t="shared" si="36"/>
        <v>10332.2</v>
      </c>
      <c r="O78" s="23">
        <f t="shared" si="36"/>
        <v>154027.41999999998</v>
      </c>
      <c r="P78" s="23">
        <f t="shared" si="36"/>
        <v>154027.41999999998</v>
      </c>
      <c r="Q78" s="23">
        <f t="shared" si="36"/>
        <v>25439.3</v>
      </c>
      <c r="R78" s="23">
        <f t="shared" si="36"/>
        <v>25439.3</v>
      </c>
      <c r="S78" s="23">
        <f t="shared" si="36"/>
        <v>7217</v>
      </c>
      <c r="T78" s="23">
        <f t="shared" si="36"/>
        <v>7217</v>
      </c>
      <c r="U78" s="23">
        <f t="shared" si="36"/>
        <v>100031.23999999999</v>
      </c>
      <c r="V78" s="23">
        <f t="shared" si="36"/>
        <v>100031.23999999999</v>
      </c>
      <c r="W78" s="23">
        <f t="shared" si="36"/>
        <v>86080.3</v>
      </c>
      <c r="X78" s="23">
        <f t="shared" si="36"/>
        <v>126235.84</v>
      </c>
      <c r="Y78" s="23">
        <f t="shared" si="36"/>
        <v>106680</v>
      </c>
      <c r="Z78" s="23">
        <f t="shared" si="36"/>
        <v>106680</v>
      </c>
      <c r="AA78" s="23">
        <f t="shared" si="36"/>
        <v>33775</v>
      </c>
      <c r="AB78" s="23">
        <f t="shared" si="36"/>
        <v>33775</v>
      </c>
      <c r="AC78" s="23">
        <f t="shared" si="36"/>
        <v>70203.1</v>
      </c>
      <c r="AD78" s="23">
        <f t="shared" si="36"/>
        <v>70203.1</v>
      </c>
      <c r="AE78" s="23">
        <f t="shared" si="36"/>
        <v>73888.24</v>
      </c>
      <c r="AF78" s="23">
        <f t="shared" si="36"/>
        <v>73888.24</v>
      </c>
      <c r="AG78" s="23">
        <f t="shared" si="36"/>
        <v>101776.37000000001</v>
      </c>
      <c r="AH78" s="23">
        <f t="shared" si="36"/>
        <v>56836.09999999999</v>
      </c>
      <c r="AI78" s="23">
        <f t="shared" si="36"/>
        <v>27112</v>
      </c>
      <c r="AJ78" s="23">
        <f t="shared" si="36"/>
        <v>24203</v>
      </c>
      <c r="AK78" s="23">
        <f t="shared" si="36"/>
        <v>12294.7</v>
      </c>
      <c r="AL78" s="23">
        <f t="shared" si="36"/>
        <v>8293.01</v>
      </c>
      <c r="AM78" s="23">
        <f t="shared" si="36"/>
        <v>46633.24</v>
      </c>
      <c r="AN78" s="23">
        <f t="shared" si="36"/>
        <v>19021.809999999998</v>
      </c>
      <c r="AO78" s="23">
        <f t="shared" si="36"/>
        <v>52138</v>
      </c>
      <c r="AP78" s="23">
        <f t="shared" si="36"/>
        <v>32975.5</v>
      </c>
      <c r="AQ78" s="23">
        <f t="shared" si="36"/>
        <v>28707.329999999998</v>
      </c>
      <c r="AR78" s="23">
        <f t="shared" si="36"/>
        <v>25349.13</v>
      </c>
      <c r="AS78" s="23">
        <f t="shared" si="36"/>
        <v>24776.620000000003</v>
      </c>
      <c r="AT78" s="23">
        <f t="shared" si="36"/>
        <v>24776.620000000003</v>
      </c>
      <c r="AU78" s="23">
        <f t="shared" si="36"/>
        <v>20546.670000000002</v>
      </c>
      <c r="AV78" s="23">
        <f t="shared" si="36"/>
        <v>20546.670000000002</v>
      </c>
      <c r="AW78" s="23">
        <f t="shared" si="36"/>
        <v>127812</v>
      </c>
      <c r="AX78" s="23">
        <f t="shared" si="36"/>
        <v>141070</v>
      </c>
      <c r="AY78" s="23">
        <f t="shared" si="36"/>
        <v>9183.720000000001</v>
      </c>
      <c r="AZ78" s="23">
        <f t="shared" si="36"/>
        <v>1194.81</v>
      </c>
      <c r="BA78" s="23">
        <f t="shared" si="36"/>
        <v>262754</v>
      </c>
      <c r="BB78" s="23">
        <f t="shared" si="36"/>
        <v>93661</v>
      </c>
      <c r="BC78" s="23">
        <f t="shared" si="36"/>
        <v>14506.47</v>
      </c>
      <c r="BD78" s="23">
        <f t="shared" si="36"/>
        <v>14506.47</v>
      </c>
      <c r="BE78" s="23">
        <f t="shared" si="36"/>
        <v>11258.98</v>
      </c>
      <c r="BF78" s="23">
        <f t="shared" si="36"/>
        <v>11258.98</v>
      </c>
      <c r="BG78" s="23">
        <f t="shared" si="36"/>
        <v>1901832.33</v>
      </c>
      <c r="BH78" s="23">
        <f t="shared" si="36"/>
        <v>1641026.92</v>
      </c>
      <c r="BI78" s="23">
        <f t="shared" si="36"/>
        <v>5668</v>
      </c>
      <c r="BJ78" s="23">
        <f t="shared" si="36"/>
        <v>5668</v>
      </c>
      <c r="BK78" s="23">
        <f t="shared" si="36"/>
        <v>549</v>
      </c>
      <c r="BL78" s="23">
        <f t="shared" si="36"/>
        <v>685</v>
      </c>
      <c r="BM78" s="23">
        <f t="shared" si="36"/>
        <v>1063</v>
      </c>
      <c r="BN78" s="23">
        <f t="shared" si="36"/>
        <v>1063</v>
      </c>
      <c r="BO78" s="23">
        <f t="shared" si="36"/>
        <v>1654</v>
      </c>
      <c r="BP78" s="23">
        <f t="shared" si="36"/>
        <v>1654</v>
      </c>
      <c r="BQ78" s="23">
        <f t="shared" si="36"/>
        <v>1680</v>
      </c>
      <c r="BR78" s="23">
        <f t="shared" si="36"/>
        <v>1680</v>
      </c>
      <c r="BS78" s="23">
        <f t="shared" si="36"/>
        <v>890</v>
      </c>
      <c r="BT78" s="23">
        <f t="shared" si="36"/>
        <v>890</v>
      </c>
      <c r="BU78" s="23">
        <f t="shared" si="36"/>
        <v>12682.16</v>
      </c>
      <c r="BV78" s="23">
        <f t="shared" si="36"/>
        <v>3831.9</v>
      </c>
      <c r="BW78" s="23">
        <f t="shared" si="36"/>
        <v>24186.16</v>
      </c>
      <c r="BX78" s="23">
        <f t="shared" si="36"/>
        <v>15471.9</v>
      </c>
      <c r="BY78" s="23">
        <f t="shared" si="36"/>
        <v>1926018.4900000002</v>
      </c>
      <c r="BZ78" s="23">
        <f t="shared" si="36"/>
        <v>1656498.82</v>
      </c>
    </row>
    <row r="79" spans="1:78" ht="19.5">
      <c r="A79" s="18"/>
      <c r="B79" s="18"/>
      <c r="C79" s="16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20"/>
      <c r="AF79" s="20"/>
      <c r="AG79" s="20"/>
      <c r="AH79" s="20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</row>
    <row r="80" spans="1:78" ht="19.5">
      <c r="A80" s="15" t="s">
        <v>117</v>
      </c>
      <c r="B80" s="15" t="s">
        <v>118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20"/>
      <c r="AF80" s="20"/>
      <c r="AG80" s="20"/>
      <c r="AH80" s="20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</row>
    <row r="81" spans="1:78" ht="19.5">
      <c r="A81" s="15"/>
      <c r="B81" s="15" t="s">
        <v>119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0"/>
      <c r="AF81" s="20"/>
      <c r="AG81" s="20"/>
      <c r="AH81" s="20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</row>
    <row r="82" spans="1:78" ht="19.5">
      <c r="A82" s="18"/>
      <c r="B82" s="18" t="s">
        <v>120</v>
      </c>
      <c r="C82" s="20">
        <v>272694.19</v>
      </c>
      <c r="D82" s="20">
        <v>272694.19</v>
      </c>
      <c r="E82" s="17">
        <v>10865.43</v>
      </c>
      <c r="F82" s="17">
        <v>10865.43</v>
      </c>
      <c r="G82" s="17">
        <v>61722.12</v>
      </c>
      <c r="H82" s="17">
        <v>62742.13</v>
      </c>
      <c r="I82" s="17">
        <v>301475</v>
      </c>
      <c r="J82" s="17">
        <v>325653</v>
      </c>
      <c r="K82" s="17">
        <f>3930.51*100</f>
        <v>393051</v>
      </c>
      <c r="L82" s="17">
        <f>3930.51*100</f>
        <v>393051</v>
      </c>
      <c r="M82" s="17">
        <v>17170</v>
      </c>
      <c r="N82" s="17">
        <v>17170</v>
      </c>
      <c r="O82" s="17">
        <v>168912.62</v>
      </c>
      <c r="P82" s="17">
        <v>168912.62</v>
      </c>
      <c r="Q82" s="17">
        <f>109202+42500+21100</f>
        <v>172802</v>
      </c>
      <c r="R82" s="17">
        <f>109202+44006.58+21449</f>
        <v>174657.58000000002</v>
      </c>
      <c r="S82" s="17">
        <f>307.01*100</f>
        <v>30701</v>
      </c>
      <c r="T82" s="17">
        <f>16530+7757+6414</f>
        <v>30701</v>
      </c>
      <c r="U82" s="17">
        <f>64939.56+13500+17500</f>
        <v>95939.56</v>
      </c>
      <c r="V82" s="17">
        <f>64939.56+13500+17500</f>
        <v>95939.56</v>
      </c>
      <c r="W82" s="17">
        <f>92475+20225+7300</f>
        <v>120000</v>
      </c>
      <c r="X82" s="17">
        <f>92475+20225+7300</f>
        <v>120000</v>
      </c>
      <c r="Y82" s="17">
        <f>2342.79*100</f>
        <v>234279</v>
      </c>
      <c r="Z82" s="17">
        <f>2342.79*100</f>
        <v>234279</v>
      </c>
      <c r="AA82" s="17">
        <f>23040+10828</f>
        <v>33868</v>
      </c>
      <c r="AB82" s="17">
        <f>23040+10828</f>
        <v>33868</v>
      </c>
      <c r="AC82" s="17">
        <v>320243.27</v>
      </c>
      <c r="AD82" s="17">
        <v>320243.27</v>
      </c>
      <c r="AE82" s="20">
        <v>147351.31</v>
      </c>
      <c r="AF82" s="20">
        <v>147351.31</v>
      </c>
      <c r="AG82" s="20">
        <f>2900+8200+167+95.22</f>
        <v>11362.22</v>
      </c>
      <c r="AH82" s="20">
        <f>2500+6367+67+63.22</f>
        <v>8997.22</v>
      </c>
      <c r="AI82" s="17">
        <v>19836</v>
      </c>
      <c r="AJ82" s="17">
        <v>20950</v>
      </c>
      <c r="AK82" s="17">
        <f>14941+620+3200</f>
        <v>18761</v>
      </c>
      <c r="AL82" s="17">
        <f>17366+575+3886.83</f>
        <v>21827.83</v>
      </c>
      <c r="AM82" s="17">
        <v>5285</v>
      </c>
      <c r="AN82" s="17">
        <v>6312.34</v>
      </c>
      <c r="AO82" s="17">
        <v>145451</v>
      </c>
      <c r="AP82" s="17">
        <v>132451</v>
      </c>
      <c r="AQ82" s="17">
        <v>94133.5</v>
      </c>
      <c r="AR82" s="17">
        <v>111799.31</v>
      </c>
      <c r="AS82" s="17">
        <f>113000.02+41887.42+3300.5+3660.39</f>
        <v>161848.33000000002</v>
      </c>
      <c r="AT82" s="17">
        <f>113000.02+41887.42+3300.5+3660.39</f>
        <v>161848.33000000002</v>
      </c>
      <c r="AU82" s="17">
        <v>12667.3</v>
      </c>
      <c r="AV82" s="17">
        <v>12667.3</v>
      </c>
      <c r="AW82" s="17">
        <v>180096</v>
      </c>
      <c r="AX82" s="17">
        <v>230559</v>
      </c>
      <c r="AY82" s="17">
        <f>5170+9852+6119.2</f>
        <v>21141.2</v>
      </c>
      <c r="AZ82" s="17">
        <f>4702.46+9988.84+3972.9</f>
        <v>18664.2</v>
      </c>
      <c r="BA82" s="17">
        <f>260110+84233+11413</f>
        <v>355756</v>
      </c>
      <c r="BB82" s="17">
        <f>245113+95835+8004</f>
        <v>348952</v>
      </c>
      <c r="BC82" s="17">
        <f>55982.27+10142.4</f>
        <v>66124.67</v>
      </c>
      <c r="BD82" s="17">
        <f>55982.27+10142.4</f>
        <v>66124.67</v>
      </c>
      <c r="BE82" s="17">
        <v>246160.1</v>
      </c>
      <c r="BF82" s="17">
        <v>246160.1</v>
      </c>
      <c r="BG82" s="17">
        <f aca="true" t="shared" si="37" ref="BG82:BH85">+C82+E82+G82+I82+K82+M82+O82+Q82+S82+U82+W82+Y82+AA82+AC82+AE82+AG82+AI82+AK82+AM82+AO82+AQ82+AS82+AU82+AW82+AY82+BA82+BC82+BE82</f>
        <v>3719696.8200000003</v>
      </c>
      <c r="BH82" s="17">
        <f t="shared" si="37"/>
        <v>3795441.3900000006</v>
      </c>
      <c r="BI82" s="17">
        <v>14048</v>
      </c>
      <c r="BJ82" s="17">
        <v>14048</v>
      </c>
      <c r="BK82" s="17">
        <f>6437+500</f>
        <v>6937</v>
      </c>
      <c r="BL82" s="17">
        <f>5428+500</f>
        <v>5928</v>
      </c>
      <c r="BM82" s="17">
        <v>4934</v>
      </c>
      <c r="BN82" s="17">
        <v>4934</v>
      </c>
      <c r="BO82" s="17">
        <v>2030.4</v>
      </c>
      <c r="BP82" s="17">
        <v>2030.4</v>
      </c>
      <c r="BQ82" s="17">
        <v>107900</v>
      </c>
      <c r="BR82" s="17">
        <v>107900</v>
      </c>
      <c r="BS82" s="17">
        <v>2200</v>
      </c>
      <c r="BT82" s="17">
        <v>2200</v>
      </c>
      <c r="BU82" s="17">
        <v>19303.18</v>
      </c>
      <c r="BV82" s="17">
        <v>9728.7</v>
      </c>
      <c r="BW82" s="17">
        <f aca="true" t="shared" si="38" ref="BW82:BX85">SUM(BI82+BK82+BM82+BO82+BQ82+BS82+BU82)</f>
        <v>157352.58</v>
      </c>
      <c r="BX82" s="17">
        <f t="shared" si="38"/>
        <v>146769.1</v>
      </c>
      <c r="BY82" s="17">
        <f aca="true" t="shared" si="39" ref="BY82:BZ85">+BW82+BG82</f>
        <v>3877049.4000000004</v>
      </c>
      <c r="BZ82" s="17">
        <f t="shared" si="39"/>
        <v>3942210.4900000007</v>
      </c>
    </row>
    <row r="83" spans="1:78" ht="19.5">
      <c r="A83" s="18"/>
      <c r="B83" s="18" t="s">
        <v>121</v>
      </c>
      <c r="C83" s="20">
        <v>58326</v>
      </c>
      <c r="D83" s="20">
        <v>58326</v>
      </c>
      <c r="E83" s="17">
        <v>0</v>
      </c>
      <c r="F83" s="17">
        <v>0</v>
      </c>
      <c r="G83" s="17">
        <v>2830</v>
      </c>
      <c r="H83" s="17">
        <v>3191.57</v>
      </c>
      <c r="I83" s="17">
        <v>11251.88</v>
      </c>
      <c r="J83" s="17">
        <v>8751.88</v>
      </c>
      <c r="K83" s="17">
        <f>57.27*100</f>
        <v>5727</v>
      </c>
      <c r="L83" s="17">
        <f>57.27*100</f>
        <v>5727</v>
      </c>
      <c r="M83" s="17">
        <v>6070</v>
      </c>
      <c r="N83" s="17">
        <v>6070</v>
      </c>
      <c r="O83" s="17">
        <v>38131.11</v>
      </c>
      <c r="P83" s="17">
        <v>38131.11</v>
      </c>
      <c r="Q83" s="17">
        <v>17100</v>
      </c>
      <c r="R83" s="17">
        <v>35100</v>
      </c>
      <c r="S83" s="17">
        <f>33.9*100</f>
        <v>3390</v>
      </c>
      <c r="T83" s="17">
        <v>3390</v>
      </c>
      <c r="U83" s="17">
        <v>1825</v>
      </c>
      <c r="V83" s="17">
        <v>1825</v>
      </c>
      <c r="W83" s="17">
        <v>7400</v>
      </c>
      <c r="X83" s="17">
        <v>7400</v>
      </c>
      <c r="Y83" s="17">
        <f>153.4*100</f>
        <v>15340</v>
      </c>
      <c r="Z83" s="17">
        <f>153.4*100</f>
        <v>15340</v>
      </c>
      <c r="AA83" s="17">
        <f>79.19*100</f>
        <v>7919</v>
      </c>
      <c r="AB83" s="17">
        <f>79.19*100</f>
        <v>7919</v>
      </c>
      <c r="AC83" s="17">
        <v>5360</v>
      </c>
      <c r="AD83" s="17">
        <v>5360</v>
      </c>
      <c r="AE83" s="20">
        <v>39197.28</v>
      </c>
      <c r="AF83" s="20">
        <v>39197.28</v>
      </c>
      <c r="AG83" s="20">
        <v>1470</v>
      </c>
      <c r="AH83" s="20">
        <v>1328</v>
      </c>
      <c r="AI83" s="17">
        <v>1750</v>
      </c>
      <c r="AJ83" s="17">
        <v>1246</v>
      </c>
      <c r="AK83" s="17">
        <v>320</v>
      </c>
      <c r="AL83" s="17">
        <v>375.67</v>
      </c>
      <c r="AM83" s="17">
        <v>303</v>
      </c>
      <c r="AN83" s="17">
        <v>453</v>
      </c>
      <c r="AO83" s="17">
        <v>4850</v>
      </c>
      <c r="AP83" s="17">
        <v>4000</v>
      </c>
      <c r="AQ83" s="17">
        <v>5091</v>
      </c>
      <c r="AR83" s="17">
        <v>4880.5</v>
      </c>
      <c r="AS83" s="17">
        <v>5556.2</v>
      </c>
      <c r="AT83" s="17">
        <v>5556.2</v>
      </c>
      <c r="AU83" s="17">
        <v>133.48</v>
      </c>
      <c r="AV83" s="17">
        <v>133.48</v>
      </c>
      <c r="AW83" s="17">
        <f>82.35*100</f>
        <v>8235</v>
      </c>
      <c r="AX83" s="17">
        <f>312.94*100</f>
        <v>31294</v>
      </c>
      <c r="AY83" s="17">
        <v>155.5</v>
      </c>
      <c r="AZ83" s="17">
        <v>1829.71</v>
      </c>
      <c r="BA83" s="17">
        <v>13484</v>
      </c>
      <c r="BB83" s="17">
        <v>11000</v>
      </c>
      <c r="BC83" s="17">
        <v>6568.66</v>
      </c>
      <c r="BD83" s="17">
        <v>6568.66</v>
      </c>
      <c r="BE83" s="17">
        <v>39420.5</v>
      </c>
      <c r="BF83" s="17">
        <v>39420.5</v>
      </c>
      <c r="BG83" s="17">
        <f t="shared" si="37"/>
        <v>307204.61</v>
      </c>
      <c r="BH83" s="17">
        <f t="shared" si="37"/>
        <v>343814.56000000006</v>
      </c>
      <c r="BI83" s="17">
        <v>1291</v>
      </c>
      <c r="BJ83" s="17">
        <v>1291</v>
      </c>
      <c r="BK83" s="17">
        <f>1332+700+49</f>
        <v>2081</v>
      </c>
      <c r="BL83" s="17">
        <v>2126</v>
      </c>
      <c r="BM83" s="17">
        <v>501</v>
      </c>
      <c r="BN83" s="17">
        <v>501</v>
      </c>
      <c r="BO83" s="17">
        <v>642</v>
      </c>
      <c r="BP83" s="17">
        <v>642</v>
      </c>
      <c r="BQ83" s="17">
        <v>20813</v>
      </c>
      <c r="BR83" s="17">
        <v>20813</v>
      </c>
      <c r="BS83" s="17">
        <v>0</v>
      </c>
      <c r="BT83" s="17">
        <v>0</v>
      </c>
      <c r="BU83" s="17">
        <v>12300</v>
      </c>
      <c r="BV83" s="17">
        <v>7094</v>
      </c>
      <c r="BW83" s="17">
        <f t="shared" si="38"/>
        <v>37628</v>
      </c>
      <c r="BX83" s="17">
        <f t="shared" si="38"/>
        <v>32467</v>
      </c>
      <c r="BY83" s="17">
        <f t="shared" si="39"/>
        <v>344832.61</v>
      </c>
      <c r="BZ83" s="17">
        <f t="shared" si="39"/>
        <v>376281.56000000006</v>
      </c>
    </row>
    <row r="84" spans="1:78" ht="19.5">
      <c r="A84" s="18"/>
      <c r="B84" s="18" t="s">
        <v>122</v>
      </c>
      <c r="C84" s="20">
        <v>8732.75</v>
      </c>
      <c r="D84" s="20">
        <v>8732.75</v>
      </c>
      <c r="E84" s="17">
        <v>650</v>
      </c>
      <c r="F84" s="17">
        <v>650</v>
      </c>
      <c r="G84" s="17">
        <v>1208.6</v>
      </c>
      <c r="H84" s="17">
        <v>1263.6</v>
      </c>
      <c r="I84" s="17">
        <v>3316.67</v>
      </c>
      <c r="J84" s="17">
        <v>6747.67</v>
      </c>
      <c r="K84" s="17">
        <v>3533</v>
      </c>
      <c r="L84" s="17">
        <v>3533</v>
      </c>
      <c r="M84" s="17">
        <v>5185</v>
      </c>
      <c r="N84" s="17">
        <v>5185</v>
      </c>
      <c r="O84" s="17">
        <v>17234.73</v>
      </c>
      <c r="P84" s="17">
        <v>17234.73</v>
      </c>
      <c r="Q84" s="17">
        <v>2500</v>
      </c>
      <c r="R84" s="17">
        <v>4622.52</v>
      </c>
      <c r="S84" s="17">
        <f>11.46*100</f>
        <v>1146</v>
      </c>
      <c r="T84" s="17">
        <v>1146</v>
      </c>
      <c r="U84" s="17">
        <v>8200</v>
      </c>
      <c r="V84" s="17">
        <v>8200</v>
      </c>
      <c r="W84" s="17">
        <v>4240</v>
      </c>
      <c r="X84" s="17">
        <v>3941</v>
      </c>
      <c r="Y84" s="17">
        <f>100.67*100</f>
        <v>10067</v>
      </c>
      <c r="Z84" s="17">
        <f>100.67*100</f>
        <v>10067</v>
      </c>
      <c r="AA84" s="17">
        <f>55.5*100</f>
        <v>5550</v>
      </c>
      <c r="AB84" s="17">
        <f>55.5*100</f>
        <v>5550</v>
      </c>
      <c r="AC84" s="17">
        <v>6295</v>
      </c>
      <c r="AD84" s="17">
        <v>6295</v>
      </c>
      <c r="AE84" s="20">
        <v>21218.05</v>
      </c>
      <c r="AF84" s="20">
        <v>21218.05</v>
      </c>
      <c r="AG84" s="20">
        <v>3718</v>
      </c>
      <c r="AH84" s="20">
        <v>3718</v>
      </c>
      <c r="AI84" s="17">
        <v>2185</v>
      </c>
      <c r="AJ84" s="17">
        <v>2185</v>
      </c>
      <c r="AK84" s="17">
        <f>50+2298.56</f>
        <v>2348.56</v>
      </c>
      <c r="AL84" s="17">
        <f>38.44+2279.56</f>
        <v>2318</v>
      </c>
      <c r="AM84" s="17">
        <v>5472.94</v>
      </c>
      <c r="AN84" s="17">
        <v>6100.49</v>
      </c>
      <c r="AO84" s="17">
        <v>1200</v>
      </c>
      <c r="AP84" s="17">
        <v>900</v>
      </c>
      <c r="AQ84" s="17">
        <v>4815.33</v>
      </c>
      <c r="AR84" s="17">
        <v>5507</v>
      </c>
      <c r="AS84" s="17">
        <v>1150</v>
      </c>
      <c r="AT84" s="17">
        <v>1150</v>
      </c>
      <c r="AU84" s="17">
        <v>730.08</v>
      </c>
      <c r="AV84" s="17">
        <v>730.08</v>
      </c>
      <c r="AW84" s="17">
        <f>16.2823*100</f>
        <v>1628.23</v>
      </c>
      <c r="AX84" s="17">
        <v>1865</v>
      </c>
      <c r="AY84" s="17">
        <v>156.33</v>
      </c>
      <c r="AZ84" s="17">
        <v>636.69</v>
      </c>
      <c r="BA84" s="17">
        <v>6018</v>
      </c>
      <c r="BB84" s="17">
        <v>3749</v>
      </c>
      <c r="BC84" s="17">
        <f>2267.91+1631.66</f>
        <v>3899.5699999999997</v>
      </c>
      <c r="BD84" s="17">
        <f>2267.91+1631.66</f>
        <v>3899.5699999999997</v>
      </c>
      <c r="BE84" s="17">
        <f>6295.1+3080</f>
        <v>9375.1</v>
      </c>
      <c r="BF84" s="17">
        <f>6295.1+3080</f>
        <v>9375.1</v>
      </c>
      <c r="BG84" s="17">
        <f t="shared" si="37"/>
        <v>141773.94</v>
      </c>
      <c r="BH84" s="17">
        <f t="shared" si="37"/>
        <v>146520.25000000003</v>
      </c>
      <c r="BI84" s="17">
        <v>308</v>
      </c>
      <c r="BJ84" s="17">
        <v>308</v>
      </c>
      <c r="BK84" s="17">
        <v>1598</v>
      </c>
      <c r="BL84" s="17">
        <v>1789</v>
      </c>
      <c r="BM84" s="17">
        <v>22</v>
      </c>
      <c r="BN84" s="17">
        <v>22</v>
      </c>
      <c r="BO84" s="17">
        <v>562.6</v>
      </c>
      <c r="BP84" s="17">
        <v>562.6</v>
      </c>
      <c r="BQ84" s="17">
        <f>2141+19</f>
        <v>2160</v>
      </c>
      <c r="BR84" s="17">
        <f>2141+19</f>
        <v>2160</v>
      </c>
      <c r="BS84" s="17">
        <v>300</v>
      </c>
      <c r="BT84" s="17">
        <v>300</v>
      </c>
      <c r="BU84" s="17">
        <f>1054.61+108.28</f>
        <v>1162.8899999999999</v>
      </c>
      <c r="BV84" s="17">
        <f>1054.61+108.28</f>
        <v>1162.8899999999999</v>
      </c>
      <c r="BW84" s="17">
        <f t="shared" si="38"/>
        <v>6113.49</v>
      </c>
      <c r="BX84" s="17">
        <f t="shared" si="38"/>
        <v>6304.49</v>
      </c>
      <c r="BY84" s="17">
        <f t="shared" si="39"/>
        <v>147887.43</v>
      </c>
      <c r="BZ84" s="17">
        <f t="shared" si="39"/>
        <v>152824.74000000002</v>
      </c>
    </row>
    <row r="85" spans="1:78" ht="19.5">
      <c r="A85" s="18"/>
      <c r="B85" s="18" t="s">
        <v>123</v>
      </c>
      <c r="C85" s="20">
        <v>12019.67</v>
      </c>
      <c r="D85" s="20">
        <v>12019.67</v>
      </c>
      <c r="E85" s="17">
        <f>185.3+201.73+185.6</f>
        <v>572.63</v>
      </c>
      <c r="F85" s="17">
        <f>185.3+201.73+185.6</f>
        <v>572.63</v>
      </c>
      <c r="G85" s="17">
        <v>6507.41</v>
      </c>
      <c r="H85" s="17">
        <v>5241.91</v>
      </c>
      <c r="I85" s="17">
        <v>2500</v>
      </c>
      <c r="J85" s="17">
        <v>0</v>
      </c>
      <c r="K85" s="17">
        <v>2064</v>
      </c>
      <c r="L85" s="17">
        <v>2064</v>
      </c>
      <c r="M85" s="17">
        <v>18799</v>
      </c>
      <c r="N85" s="17">
        <v>18799</v>
      </c>
      <c r="O85" s="17">
        <v>7754.06</v>
      </c>
      <c r="P85" s="17">
        <v>7754.06</v>
      </c>
      <c r="Q85" s="17">
        <f>194.7+30+126</f>
        <v>350.7</v>
      </c>
      <c r="R85" s="17">
        <f>194.7+30+646</f>
        <v>870.7</v>
      </c>
      <c r="S85" s="17">
        <f>2.7*100</f>
        <v>270</v>
      </c>
      <c r="T85" s="17">
        <v>270</v>
      </c>
      <c r="U85" s="17">
        <v>1600</v>
      </c>
      <c r="V85" s="17">
        <v>1600</v>
      </c>
      <c r="W85" s="17">
        <v>3260</v>
      </c>
      <c r="X85" s="17">
        <v>1260</v>
      </c>
      <c r="Y85" s="17">
        <f>254.75*100</f>
        <v>25475</v>
      </c>
      <c r="Z85" s="17">
        <f>254.75*100</f>
        <v>25475</v>
      </c>
      <c r="AA85" s="17">
        <f>37.55*100</f>
        <v>3754.9999999999995</v>
      </c>
      <c r="AB85" s="17">
        <f>37.55*100</f>
        <v>3754.9999999999995</v>
      </c>
      <c r="AC85" s="17">
        <v>6789.76</v>
      </c>
      <c r="AD85" s="17">
        <v>6789.76</v>
      </c>
      <c r="AE85" s="20">
        <v>10333.76</v>
      </c>
      <c r="AF85" s="20">
        <v>10333.76</v>
      </c>
      <c r="AG85" s="20">
        <v>2403.5</v>
      </c>
      <c r="AH85" s="20">
        <v>2010.5</v>
      </c>
      <c r="AI85" s="17">
        <v>3425</v>
      </c>
      <c r="AJ85" s="17">
        <v>3670</v>
      </c>
      <c r="AK85" s="17">
        <v>469</v>
      </c>
      <c r="AL85" s="17">
        <v>470.5</v>
      </c>
      <c r="AM85" s="17">
        <v>460</v>
      </c>
      <c r="AN85" s="17">
        <v>702.24</v>
      </c>
      <c r="AO85" s="17">
        <v>3611</v>
      </c>
      <c r="AP85" s="17">
        <v>3296</v>
      </c>
      <c r="AQ85" s="17">
        <v>10358</v>
      </c>
      <c r="AR85" s="17">
        <v>6296</v>
      </c>
      <c r="AS85" s="17">
        <v>2717.11</v>
      </c>
      <c r="AT85" s="17">
        <v>2717.11</v>
      </c>
      <c r="AU85" s="17">
        <v>1941.77</v>
      </c>
      <c r="AV85" s="17">
        <v>1941.77</v>
      </c>
      <c r="AW85" s="17">
        <f>1.9752*100</f>
        <v>197.52</v>
      </c>
      <c r="AX85" s="17">
        <v>0</v>
      </c>
      <c r="AY85" s="17">
        <v>45</v>
      </c>
      <c r="AZ85" s="17">
        <v>328.33</v>
      </c>
      <c r="BA85" s="17">
        <v>4157</v>
      </c>
      <c r="BB85" s="17">
        <v>821</v>
      </c>
      <c r="BC85" s="17">
        <v>2494.5</v>
      </c>
      <c r="BD85" s="17">
        <v>2494.5</v>
      </c>
      <c r="BE85" s="17">
        <v>5744.3</v>
      </c>
      <c r="BF85" s="17">
        <v>5744.3</v>
      </c>
      <c r="BG85" s="17">
        <f t="shared" si="37"/>
        <v>140074.69</v>
      </c>
      <c r="BH85" s="17">
        <f t="shared" si="37"/>
        <v>127297.74</v>
      </c>
      <c r="BI85" s="17">
        <v>261</v>
      </c>
      <c r="BJ85" s="17">
        <v>261</v>
      </c>
      <c r="BK85" s="17">
        <v>668</v>
      </c>
      <c r="BL85" s="17">
        <f>168+176+15+151</f>
        <v>510</v>
      </c>
      <c r="BM85" s="17">
        <v>17</v>
      </c>
      <c r="BN85" s="17">
        <v>17</v>
      </c>
      <c r="BO85" s="17">
        <v>66</v>
      </c>
      <c r="BP85" s="17">
        <v>66</v>
      </c>
      <c r="BQ85" s="17">
        <v>3190</v>
      </c>
      <c r="BR85" s="17">
        <v>3190</v>
      </c>
      <c r="BS85" s="17">
        <v>330</v>
      </c>
      <c r="BT85" s="17">
        <v>330</v>
      </c>
      <c r="BU85" s="17">
        <v>910</v>
      </c>
      <c r="BV85" s="17">
        <v>685</v>
      </c>
      <c r="BW85" s="17">
        <f t="shared" si="38"/>
        <v>5442</v>
      </c>
      <c r="BX85" s="17">
        <f t="shared" si="38"/>
        <v>5059</v>
      </c>
      <c r="BY85" s="17">
        <f t="shared" si="39"/>
        <v>145516.69</v>
      </c>
      <c r="BZ85" s="17">
        <f t="shared" si="39"/>
        <v>132356.74</v>
      </c>
    </row>
    <row r="86" spans="1:78" ht="19.5">
      <c r="A86" s="15"/>
      <c r="B86" s="15" t="s">
        <v>124</v>
      </c>
      <c r="C86" s="23">
        <f aca="true" t="shared" si="40" ref="C86:BZ86">SUM(C82:C85)</f>
        <v>351772.61</v>
      </c>
      <c r="D86" s="23">
        <f t="shared" si="40"/>
        <v>351772.61</v>
      </c>
      <c r="E86" s="23">
        <f t="shared" si="40"/>
        <v>12088.06</v>
      </c>
      <c r="F86" s="23">
        <f t="shared" si="40"/>
        <v>12088.06</v>
      </c>
      <c r="G86" s="23">
        <f>SUM(G81:G85)</f>
        <v>72268.13</v>
      </c>
      <c r="H86" s="23">
        <f>SUM(H81:H85)</f>
        <v>72439.21</v>
      </c>
      <c r="I86" s="23">
        <f t="shared" si="40"/>
        <v>318543.55</v>
      </c>
      <c r="J86" s="23">
        <f t="shared" si="40"/>
        <v>341152.55</v>
      </c>
      <c r="K86" s="23">
        <f t="shared" si="40"/>
        <v>404375</v>
      </c>
      <c r="L86" s="23">
        <f t="shared" si="40"/>
        <v>404375</v>
      </c>
      <c r="M86" s="23">
        <f t="shared" si="40"/>
        <v>47224</v>
      </c>
      <c r="N86" s="23">
        <f t="shared" si="40"/>
        <v>47224</v>
      </c>
      <c r="O86" s="23">
        <f t="shared" si="40"/>
        <v>232032.52</v>
      </c>
      <c r="P86" s="23">
        <f t="shared" si="40"/>
        <v>232032.52</v>
      </c>
      <c r="Q86" s="23">
        <f t="shared" si="40"/>
        <v>192752.7</v>
      </c>
      <c r="R86" s="23">
        <f t="shared" si="40"/>
        <v>215250.80000000002</v>
      </c>
      <c r="S86" s="23">
        <f t="shared" si="40"/>
        <v>35507</v>
      </c>
      <c r="T86" s="23">
        <f t="shared" si="40"/>
        <v>35507</v>
      </c>
      <c r="U86" s="23">
        <f t="shared" si="40"/>
        <v>107564.56</v>
      </c>
      <c r="V86" s="23">
        <f t="shared" si="40"/>
        <v>107564.56</v>
      </c>
      <c r="W86" s="23">
        <f t="shared" si="40"/>
        <v>134900</v>
      </c>
      <c r="X86" s="23">
        <f t="shared" si="40"/>
        <v>132601</v>
      </c>
      <c r="Y86" s="23">
        <f t="shared" si="40"/>
        <v>285161</v>
      </c>
      <c r="Z86" s="23">
        <f t="shared" si="40"/>
        <v>285161</v>
      </c>
      <c r="AA86" s="23">
        <f t="shared" si="40"/>
        <v>51092</v>
      </c>
      <c r="AB86" s="23">
        <f t="shared" si="40"/>
        <v>51092</v>
      </c>
      <c r="AC86" s="23">
        <f t="shared" si="40"/>
        <v>338688.03</v>
      </c>
      <c r="AD86" s="23">
        <f t="shared" si="40"/>
        <v>338688.03</v>
      </c>
      <c r="AE86" s="23">
        <f t="shared" si="40"/>
        <v>218100.4</v>
      </c>
      <c r="AF86" s="23">
        <f t="shared" si="40"/>
        <v>218100.4</v>
      </c>
      <c r="AG86" s="23">
        <f t="shared" si="40"/>
        <v>18953.72</v>
      </c>
      <c r="AH86" s="23">
        <f t="shared" si="40"/>
        <v>16053.72</v>
      </c>
      <c r="AI86" s="23">
        <f t="shared" si="40"/>
        <v>27196</v>
      </c>
      <c r="AJ86" s="23">
        <f t="shared" si="40"/>
        <v>28051</v>
      </c>
      <c r="AK86" s="23">
        <f t="shared" si="40"/>
        <v>21898.56</v>
      </c>
      <c r="AL86" s="23">
        <f t="shared" si="40"/>
        <v>24992</v>
      </c>
      <c r="AM86" s="23">
        <f t="shared" si="40"/>
        <v>11520.939999999999</v>
      </c>
      <c r="AN86" s="23">
        <f t="shared" si="40"/>
        <v>13568.07</v>
      </c>
      <c r="AO86" s="23">
        <f t="shared" si="40"/>
        <v>155112</v>
      </c>
      <c r="AP86" s="23">
        <f t="shared" si="40"/>
        <v>140647</v>
      </c>
      <c r="AQ86" s="23">
        <f t="shared" si="40"/>
        <v>114397.83</v>
      </c>
      <c r="AR86" s="23">
        <f t="shared" si="40"/>
        <v>128482.81</v>
      </c>
      <c r="AS86" s="23">
        <f t="shared" si="40"/>
        <v>171271.64</v>
      </c>
      <c r="AT86" s="23">
        <f t="shared" si="40"/>
        <v>171271.64</v>
      </c>
      <c r="AU86" s="23">
        <f t="shared" si="40"/>
        <v>15472.63</v>
      </c>
      <c r="AV86" s="23">
        <f t="shared" si="40"/>
        <v>15472.63</v>
      </c>
      <c r="AW86" s="23">
        <f t="shared" si="40"/>
        <v>190156.75</v>
      </c>
      <c r="AX86" s="23">
        <f t="shared" si="40"/>
        <v>263718</v>
      </c>
      <c r="AY86" s="23">
        <f t="shared" si="40"/>
        <v>21498.030000000002</v>
      </c>
      <c r="AZ86" s="23">
        <f t="shared" si="40"/>
        <v>21458.93</v>
      </c>
      <c r="BA86" s="23">
        <f t="shared" si="40"/>
        <v>379415</v>
      </c>
      <c r="BB86" s="23">
        <f t="shared" si="40"/>
        <v>364522</v>
      </c>
      <c r="BC86" s="23">
        <f t="shared" si="40"/>
        <v>79087.4</v>
      </c>
      <c r="BD86" s="23">
        <f t="shared" si="40"/>
        <v>79087.4</v>
      </c>
      <c r="BE86" s="23">
        <f t="shared" si="40"/>
        <v>300699.99999999994</v>
      </c>
      <c r="BF86" s="23">
        <f t="shared" si="40"/>
        <v>300699.99999999994</v>
      </c>
      <c r="BG86" s="23">
        <f t="shared" si="40"/>
        <v>4308750.0600000005</v>
      </c>
      <c r="BH86" s="23">
        <f t="shared" si="40"/>
        <v>4413073.940000001</v>
      </c>
      <c r="BI86" s="23">
        <f t="shared" si="40"/>
        <v>15908</v>
      </c>
      <c r="BJ86" s="23">
        <f t="shared" si="40"/>
        <v>15908</v>
      </c>
      <c r="BK86" s="23">
        <f t="shared" si="40"/>
        <v>11284</v>
      </c>
      <c r="BL86" s="23">
        <f t="shared" si="40"/>
        <v>10353</v>
      </c>
      <c r="BM86" s="23">
        <f t="shared" si="40"/>
        <v>5474</v>
      </c>
      <c r="BN86" s="23">
        <f t="shared" si="40"/>
        <v>5474</v>
      </c>
      <c r="BO86" s="23">
        <f t="shared" si="40"/>
        <v>3301</v>
      </c>
      <c r="BP86" s="23">
        <f t="shared" si="40"/>
        <v>3301</v>
      </c>
      <c r="BQ86" s="23">
        <f t="shared" si="40"/>
        <v>134063</v>
      </c>
      <c r="BR86" s="23">
        <f t="shared" si="40"/>
        <v>134063</v>
      </c>
      <c r="BS86" s="23">
        <f t="shared" si="40"/>
        <v>2830</v>
      </c>
      <c r="BT86" s="23">
        <f t="shared" si="40"/>
        <v>2830</v>
      </c>
      <c r="BU86" s="23">
        <f t="shared" si="40"/>
        <v>33676.07</v>
      </c>
      <c r="BV86" s="23">
        <f t="shared" si="40"/>
        <v>18670.59</v>
      </c>
      <c r="BW86" s="23">
        <f t="shared" si="40"/>
        <v>206536.06999999998</v>
      </c>
      <c r="BX86" s="23">
        <f t="shared" si="40"/>
        <v>190599.59</v>
      </c>
      <c r="BY86" s="23">
        <f t="shared" si="40"/>
        <v>4515286.130000001</v>
      </c>
      <c r="BZ86" s="23">
        <f t="shared" si="40"/>
        <v>4603673.530000001</v>
      </c>
    </row>
    <row r="87" spans="1:78" ht="19.5">
      <c r="A87" s="18"/>
      <c r="B87" s="18" t="s">
        <v>125</v>
      </c>
      <c r="C87" s="20">
        <f>112259.25+1000+500+100+583+100+100+228.03+15+9694.4+46708.84</f>
        <v>171288.52</v>
      </c>
      <c r="D87" s="20">
        <f>112259.25+1000+500+100+583+100+100+228.03+15+9694.4+46708.84</f>
        <v>171288.52</v>
      </c>
      <c r="E87" s="17">
        <v>5808</v>
      </c>
      <c r="F87" s="17">
        <v>5808</v>
      </c>
      <c r="G87" s="17">
        <v>47486.71</v>
      </c>
      <c r="H87" s="17">
        <v>59250.71</v>
      </c>
      <c r="I87" s="17">
        <v>54450</v>
      </c>
      <c r="J87" s="17">
        <v>41668</v>
      </c>
      <c r="K87" s="17">
        <f>835.39*100</f>
        <v>83539</v>
      </c>
      <c r="L87" s="17">
        <f>835.39*100</f>
        <v>83539</v>
      </c>
      <c r="M87" s="17">
        <v>12462</v>
      </c>
      <c r="N87" s="17">
        <v>12462</v>
      </c>
      <c r="O87" s="17">
        <f>34443.24+5194.74+6461.5+51924.99+29000+80000+10200+1600+550+20+130</f>
        <v>219524.47</v>
      </c>
      <c r="P87" s="17">
        <f>34443.24+5194.74+6461.5+51924.99+29000+80000+10200+1600+550+20+130</f>
        <v>219524.47</v>
      </c>
      <c r="Q87" s="17">
        <f>17831+29000+1000+2000</f>
        <v>49831</v>
      </c>
      <c r="R87" s="17">
        <f>24595.36+28000+1028.27+1500</f>
        <v>55123.63</v>
      </c>
      <c r="S87" s="17">
        <f>164.42*100</f>
        <v>16442</v>
      </c>
      <c r="T87" s="17">
        <v>16442</v>
      </c>
      <c r="U87" s="17">
        <v>33331.11</v>
      </c>
      <c r="V87" s="17">
        <v>33331.11</v>
      </c>
      <c r="W87" s="17">
        <v>64700</v>
      </c>
      <c r="X87" s="17">
        <v>38000</v>
      </c>
      <c r="Y87" s="17">
        <f>1301.97*100</f>
        <v>130197</v>
      </c>
      <c r="Z87" s="17">
        <f>1301.97*100</f>
        <v>130197</v>
      </c>
      <c r="AA87" s="17">
        <f>416.65*100</f>
        <v>41665</v>
      </c>
      <c r="AB87" s="17">
        <f>416.65*100</f>
        <v>41665</v>
      </c>
      <c r="AC87" s="17">
        <v>66085</v>
      </c>
      <c r="AD87" s="17">
        <v>66085</v>
      </c>
      <c r="AE87" s="20">
        <f>30928.02+116243.84</f>
        <v>147171.86</v>
      </c>
      <c r="AF87" s="20">
        <f>30928.02+116243.84</f>
        <v>147171.86</v>
      </c>
      <c r="AG87" s="20">
        <v>14955</v>
      </c>
      <c r="AH87" s="20">
        <v>26345</v>
      </c>
      <c r="AI87" s="17">
        <v>17300</v>
      </c>
      <c r="AJ87" s="17">
        <v>16800</v>
      </c>
      <c r="AK87" s="17">
        <f>4500+4275</f>
        <v>8775</v>
      </c>
      <c r="AL87" s="17">
        <f>4470+4256.62</f>
        <v>8726.619999999999</v>
      </c>
      <c r="AM87" s="17">
        <v>3224</v>
      </c>
      <c r="AN87" s="17">
        <v>4838.38</v>
      </c>
      <c r="AO87" s="17">
        <v>32385</v>
      </c>
      <c r="AP87" s="17">
        <v>26135</v>
      </c>
      <c r="AQ87" s="17">
        <v>31490.85</v>
      </c>
      <c r="AR87" s="17">
        <v>29576.7</v>
      </c>
      <c r="AS87" s="17">
        <v>66353.47</v>
      </c>
      <c r="AT87" s="17">
        <v>66353.47</v>
      </c>
      <c r="AU87" s="17">
        <v>12801.44</v>
      </c>
      <c r="AV87" s="17">
        <v>12801.44</v>
      </c>
      <c r="AW87" s="17">
        <f>1496.44*100</f>
        <v>149644</v>
      </c>
      <c r="AX87" s="17">
        <f>1098.05*100</f>
        <v>109805</v>
      </c>
      <c r="AY87" s="17">
        <f>7975.19+209.56+8647.15+17.8+7.28+0.08+5209.34+2000+229.09+1319.87</f>
        <v>25615.36</v>
      </c>
      <c r="AZ87" s="17">
        <v>22407.33</v>
      </c>
      <c r="BA87" s="17">
        <f>59256+39500+97448+8760</f>
        <v>204964</v>
      </c>
      <c r="BB87" s="17">
        <f>30000+57500+6609</f>
        <v>94109</v>
      </c>
      <c r="BC87" s="17">
        <v>42375.57</v>
      </c>
      <c r="BD87" s="17">
        <v>42375.57</v>
      </c>
      <c r="BE87" s="17">
        <v>87384.5</v>
      </c>
      <c r="BF87" s="17">
        <v>87384.5</v>
      </c>
      <c r="BG87" s="17">
        <f aca="true" t="shared" si="41" ref="BG87:BH95">+C87+E87+G87+I87+K87+M87+O87+Q87+S87+U87+W87+Y87+AA87+AC87+AE87+AG87+AI87+AK87+AM87+AO87+AQ87+AS87+AU87+AW87+AY87+BA87+BC87+BE87</f>
        <v>1841249.86</v>
      </c>
      <c r="BH87" s="17">
        <f t="shared" si="41"/>
        <v>1669214.3099999998</v>
      </c>
      <c r="BI87" s="17">
        <v>8339</v>
      </c>
      <c r="BJ87" s="17">
        <v>8339</v>
      </c>
      <c r="BK87" s="17">
        <v>8504</v>
      </c>
      <c r="BL87" s="17">
        <v>8066</v>
      </c>
      <c r="BM87" s="17">
        <v>3658</v>
      </c>
      <c r="BN87" s="17">
        <v>3658</v>
      </c>
      <c r="BO87" s="17">
        <v>2123</v>
      </c>
      <c r="BP87" s="17">
        <v>2123</v>
      </c>
      <c r="BQ87" s="17">
        <v>182110</v>
      </c>
      <c r="BR87" s="17">
        <v>182110</v>
      </c>
      <c r="BS87" s="17">
        <v>1400</v>
      </c>
      <c r="BT87" s="17">
        <v>1400</v>
      </c>
      <c r="BU87" s="17">
        <v>28067.5</v>
      </c>
      <c r="BV87" s="17">
        <v>22667</v>
      </c>
      <c r="BW87" s="17">
        <f aca="true" t="shared" si="42" ref="BW87:BW95">SUM(BI87+BK87+BM87+BO87+BQ87+BS87+BU87)</f>
        <v>234201.5</v>
      </c>
      <c r="BX87" s="17">
        <f aca="true" t="shared" si="43" ref="BX87:BX95">SUM(BJ87+BL87+BN87+BP87+BR87+BT87+BV87)</f>
        <v>228363</v>
      </c>
      <c r="BY87" s="17">
        <f aca="true" t="shared" si="44" ref="BY87:BZ95">+BW87+BG87</f>
        <v>2075451.36</v>
      </c>
      <c r="BZ87" s="17">
        <f t="shared" si="44"/>
        <v>1897577.3099999998</v>
      </c>
    </row>
    <row r="88" spans="1:78" ht="19.5">
      <c r="A88" s="18"/>
      <c r="B88" s="18" t="s">
        <v>126</v>
      </c>
      <c r="C88" s="20">
        <v>109336</v>
      </c>
      <c r="D88" s="20">
        <v>109336</v>
      </c>
      <c r="E88" s="17">
        <v>9534.69</v>
      </c>
      <c r="F88" s="17">
        <v>9534.69</v>
      </c>
      <c r="G88" s="17">
        <v>9317</v>
      </c>
      <c r="H88" s="17">
        <v>12939</v>
      </c>
      <c r="I88" s="17">
        <v>31485.74</v>
      </c>
      <c r="J88" s="17">
        <v>29648.74</v>
      </c>
      <c r="K88" s="17">
        <f>328.09*100</f>
        <v>32809</v>
      </c>
      <c r="L88" s="17">
        <f>328.09*100</f>
        <v>32809</v>
      </c>
      <c r="M88" s="17">
        <v>22135</v>
      </c>
      <c r="N88" s="17">
        <v>22135</v>
      </c>
      <c r="O88" s="17">
        <f>179200+9400+1+16745.8+7500</f>
        <v>212846.8</v>
      </c>
      <c r="P88" s="17">
        <f>179200+9400+1+16745.8+7500</f>
        <v>212846.8</v>
      </c>
      <c r="Q88" s="17">
        <v>77000</v>
      </c>
      <c r="R88" s="17">
        <v>67713</v>
      </c>
      <c r="S88" s="17">
        <f>189.5*100</f>
        <v>18950</v>
      </c>
      <c r="T88" s="17">
        <v>18950</v>
      </c>
      <c r="U88" s="17">
        <v>20606.7</v>
      </c>
      <c r="V88" s="17">
        <v>20606.7</v>
      </c>
      <c r="W88" s="17">
        <v>30000</v>
      </c>
      <c r="X88" s="17">
        <v>27000</v>
      </c>
      <c r="Y88" s="17">
        <f>2171.1*100</f>
        <v>217110</v>
      </c>
      <c r="Z88" s="17">
        <f>2171.1*100</f>
        <v>217110</v>
      </c>
      <c r="AA88" s="17">
        <f>908.97*100</f>
        <v>90897</v>
      </c>
      <c r="AB88" s="17">
        <f>908.97*100</f>
        <v>90897</v>
      </c>
      <c r="AC88" s="17">
        <v>39394.74</v>
      </c>
      <c r="AD88" s="17">
        <v>39394.74</v>
      </c>
      <c r="AE88" s="20">
        <v>99387.81</v>
      </c>
      <c r="AF88" s="20">
        <v>99387.81</v>
      </c>
      <c r="AG88" s="20">
        <v>20500</v>
      </c>
      <c r="AH88" s="20">
        <v>11384</v>
      </c>
      <c r="AI88" s="17">
        <v>11900</v>
      </c>
      <c r="AJ88" s="17">
        <v>11900</v>
      </c>
      <c r="AK88" s="17">
        <v>7176.13</v>
      </c>
      <c r="AL88" s="17">
        <v>7322.13</v>
      </c>
      <c r="AM88" s="17">
        <v>1187</v>
      </c>
      <c r="AN88" s="17">
        <v>2613.39</v>
      </c>
      <c r="AO88" s="17">
        <v>42050</v>
      </c>
      <c r="AP88" s="17">
        <v>28550</v>
      </c>
      <c r="AQ88" s="17">
        <f>34025+32862</f>
        <v>66887</v>
      </c>
      <c r="AR88" s="17">
        <f>20981+22542</f>
        <v>43523</v>
      </c>
      <c r="AS88" s="17">
        <v>142094.46</v>
      </c>
      <c r="AT88" s="17">
        <v>142094.46</v>
      </c>
      <c r="AU88" s="17">
        <f>568.07+844.57</f>
        <v>1412.64</v>
      </c>
      <c r="AV88" s="17">
        <f>568.07+844.57</f>
        <v>1412.64</v>
      </c>
      <c r="AW88" s="17">
        <f>1055.58*100</f>
        <v>105558</v>
      </c>
      <c r="AX88" s="17">
        <f>1055.58*100</f>
        <v>105558</v>
      </c>
      <c r="AY88" s="17">
        <v>7495.81</v>
      </c>
      <c r="AZ88" s="17">
        <v>7019.23</v>
      </c>
      <c r="BA88" s="17">
        <v>166495</v>
      </c>
      <c r="BB88" s="17">
        <v>75402</v>
      </c>
      <c r="BC88" s="17">
        <v>54636.66</v>
      </c>
      <c r="BD88" s="17">
        <v>54636.66</v>
      </c>
      <c r="BE88" s="17">
        <v>79052</v>
      </c>
      <c r="BF88" s="17">
        <v>79052</v>
      </c>
      <c r="BG88" s="17">
        <f t="shared" si="41"/>
        <v>1727255.1799999997</v>
      </c>
      <c r="BH88" s="17">
        <f t="shared" si="41"/>
        <v>1580775.9899999998</v>
      </c>
      <c r="BI88" s="17">
        <v>6316</v>
      </c>
      <c r="BJ88" s="17">
        <v>6316</v>
      </c>
      <c r="BK88" s="17">
        <v>210</v>
      </c>
      <c r="BL88" s="17">
        <v>141</v>
      </c>
      <c r="BM88" s="17">
        <v>1871</v>
      </c>
      <c r="BN88" s="17">
        <v>1871</v>
      </c>
      <c r="BO88" s="17">
        <v>2594</v>
      </c>
      <c r="BP88" s="17">
        <v>2594</v>
      </c>
      <c r="BQ88" s="17">
        <v>185011</v>
      </c>
      <c r="BR88" s="17">
        <v>185011</v>
      </c>
      <c r="BS88" s="17">
        <v>2000</v>
      </c>
      <c r="BT88" s="17">
        <v>2000</v>
      </c>
      <c r="BU88" s="17">
        <v>20142</v>
      </c>
      <c r="BV88" s="17">
        <v>10692.85</v>
      </c>
      <c r="BW88" s="17">
        <f t="shared" si="42"/>
        <v>218144</v>
      </c>
      <c r="BX88" s="17">
        <f t="shared" si="43"/>
        <v>208625.85</v>
      </c>
      <c r="BY88" s="17">
        <f t="shared" si="44"/>
        <v>1945399.1799999997</v>
      </c>
      <c r="BZ88" s="17">
        <f t="shared" si="44"/>
        <v>1789401.8399999999</v>
      </c>
    </row>
    <row r="89" spans="1:78" ht="19.5">
      <c r="A89" s="18"/>
      <c r="B89" s="18" t="s">
        <v>127</v>
      </c>
      <c r="C89" s="20">
        <v>231138</v>
      </c>
      <c r="D89" s="20">
        <v>231138</v>
      </c>
      <c r="E89" s="17">
        <v>4759.43</v>
      </c>
      <c r="F89" s="17">
        <v>4759.43</v>
      </c>
      <c r="G89" s="17">
        <v>420</v>
      </c>
      <c r="H89" s="17">
        <v>420</v>
      </c>
      <c r="I89" s="17">
        <v>122726.06</v>
      </c>
      <c r="J89" s="17">
        <v>116226.06</v>
      </c>
      <c r="K89" s="17">
        <f>118.57*100</f>
        <v>11857</v>
      </c>
      <c r="L89" s="17">
        <f>118.57*100</f>
        <v>11857</v>
      </c>
      <c r="M89" s="17">
        <v>1815</v>
      </c>
      <c r="N89" s="17">
        <v>1815</v>
      </c>
      <c r="O89" s="17">
        <f>18562.5+15399+12018.99+24696.29+46279.5+21000+10999.99</f>
        <v>148956.27</v>
      </c>
      <c r="P89" s="17">
        <f>18562.5+15399+12018.99+24696.29+46279.5+21000+10999.99</f>
        <v>148956.27</v>
      </c>
      <c r="Q89" s="17">
        <f>610+9500</f>
        <v>10110</v>
      </c>
      <c r="R89" s="17">
        <f>610+11000</f>
        <v>11610</v>
      </c>
      <c r="S89" s="17">
        <f>53.18*100</f>
        <v>5318</v>
      </c>
      <c r="T89" s="17">
        <v>5318</v>
      </c>
      <c r="U89" s="17">
        <v>900</v>
      </c>
      <c r="V89" s="17">
        <v>900</v>
      </c>
      <c r="W89" s="17">
        <v>1000</v>
      </c>
      <c r="X89" s="17">
        <v>1000</v>
      </c>
      <c r="Y89" s="17">
        <f>1134.8*100</f>
        <v>113480</v>
      </c>
      <c r="Z89" s="17">
        <f>1134.8*100</f>
        <v>113480</v>
      </c>
      <c r="AA89" s="17">
        <f>44*100</f>
        <v>4400</v>
      </c>
      <c r="AB89" s="17">
        <f>44*100</f>
        <v>4400</v>
      </c>
      <c r="AC89" s="17">
        <v>14651.2</v>
      </c>
      <c r="AD89" s="17">
        <v>14651.2</v>
      </c>
      <c r="AE89" s="20">
        <v>215540.46</v>
      </c>
      <c r="AF89" s="20">
        <v>215540.46</v>
      </c>
      <c r="AG89" s="20">
        <f>605+7612+342.26</f>
        <v>8559.26</v>
      </c>
      <c r="AH89" s="20">
        <f>60+7612+342.26</f>
        <v>8014.26</v>
      </c>
      <c r="AI89" s="17">
        <f>800+500</f>
        <v>1300</v>
      </c>
      <c r="AJ89" s="17">
        <f>800+500</f>
        <v>1300</v>
      </c>
      <c r="AK89" s="17">
        <f>2676.67+1000+975</f>
        <v>4651.67</v>
      </c>
      <c r="AL89" s="17">
        <f>2676.67+997+900</f>
        <v>4573.67</v>
      </c>
      <c r="AM89" s="17">
        <v>14908.6</v>
      </c>
      <c r="AN89" s="17">
        <v>16667.75</v>
      </c>
      <c r="AO89" s="17">
        <v>19001</v>
      </c>
      <c r="AP89" s="17">
        <v>19001</v>
      </c>
      <c r="AQ89" s="17">
        <v>300.2</v>
      </c>
      <c r="AR89" s="17">
        <v>0</v>
      </c>
      <c r="AS89" s="17">
        <v>38935.37</v>
      </c>
      <c r="AT89" s="17">
        <v>38935.37</v>
      </c>
      <c r="AU89" s="17">
        <f>625+500+500</f>
        <v>1625</v>
      </c>
      <c r="AV89" s="17">
        <f>625+500+500</f>
        <v>1625</v>
      </c>
      <c r="AW89" s="17">
        <f>21.39*100</f>
        <v>2139</v>
      </c>
      <c r="AX89" s="17">
        <f>129.15*100</f>
        <v>12915</v>
      </c>
      <c r="AY89" s="17">
        <f>750+1118.34</f>
        <v>1868.34</v>
      </c>
      <c r="AZ89" s="17">
        <f>638.01+708.9</f>
        <v>1346.9099999999999</v>
      </c>
      <c r="BA89" s="17">
        <f>44931+78302</f>
        <v>123233</v>
      </c>
      <c r="BB89" s="17">
        <f>30597+65127</f>
        <v>95724</v>
      </c>
      <c r="BC89" s="17">
        <v>2500</v>
      </c>
      <c r="BD89" s="17">
        <v>2500</v>
      </c>
      <c r="BE89" s="17">
        <v>86116</v>
      </c>
      <c r="BF89" s="17">
        <v>86116</v>
      </c>
      <c r="BG89" s="17">
        <f t="shared" si="41"/>
        <v>1192208.8599999999</v>
      </c>
      <c r="BH89" s="17">
        <f t="shared" si="41"/>
        <v>1170790.38</v>
      </c>
      <c r="BI89" s="17">
        <v>2817</v>
      </c>
      <c r="BJ89" s="17">
        <v>2817</v>
      </c>
      <c r="BK89" s="17">
        <v>3134</v>
      </c>
      <c r="BL89" s="17">
        <v>2827</v>
      </c>
      <c r="BM89" s="17">
        <f>250+200</f>
        <v>450</v>
      </c>
      <c r="BN89" s="17">
        <f>250+200</f>
        <v>450</v>
      </c>
      <c r="BO89" s="17">
        <v>232</v>
      </c>
      <c r="BP89" s="17">
        <v>232</v>
      </c>
      <c r="BQ89" s="17">
        <v>45780</v>
      </c>
      <c r="BR89" s="17">
        <v>45780</v>
      </c>
      <c r="BS89" s="17">
        <v>2000</v>
      </c>
      <c r="BT89" s="17">
        <v>2000</v>
      </c>
      <c r="BU89" s="17">
        <v>20588.01</v>
      </c>
      <c r="BV89" s="17">
        <v>8294.74</v>
      </c>
      <c r="BW89" s="17">
        <f t="shared" si="42"/>
        <v>75001.01</v>
      </c>
      <c r="BX89" s="17">
        <f t="shared" si="43"/>
        <v>62400.74</v>
      </c>
      <c r="BY89" s="17">
        <f t="shared" si="44"/>
        <v>1267209.8699999999</v>
      </c>
      <c r="BZ89" s="17">
        <f t="shared" si="44"/>
        <v>1233191.1199999999</v>
      </c>
    </row>
    <row r="90" spans="1:78" ht="58.5">
      <c r="A90" s="18"/>
      <c r="B90" s="29" t="s">
        <v>128</v>
      </c>
      <c r="C90" s="20">
        <v>318064.5</v>
      </c>
      <c r="D90" s="20">
        <v>318064.5</v>
      </c>
      <c r="E90" s="17">
        <v>8299.34</v>
      </c>
      <c r="F90" s="17">
        <v>8299.34</v>
      </c>
      <c r="G90" s="17">
        <v>76033.9</v>
      </c>
      <c r="H90" s="17">
        <v>79964</v>
      </c>
      <c r="I90" s="17">
        <v>87250</v>
      </c>
      <c r="J90" s="17">
        <v>33743</v>
      </c>
      <c r="K90" s="17">
        <f>1150.86*100</f>
        <v>115085.99999999999</v>
      </c>
      <c r="L90" s="17">
        <f>1150.86*100</f>
        <v>115085.99999999999</v>
      </c>
      <c r="M90" s="17">
        <v>17032</v>
      </c>
      <c r="N90" s="17">
        <v>17032</v>
      </c>
      <c r="O90" s="17">
        <v>301360</v>
      </c>
      <c r="P90" s="17">
        <v>301360</v>
      </c>
      <c r="Q90" s="17">
        <v>101740</v>
      </c>
      <c r="R90" s="17">
        <v>132327</v>
      </c>
      <c r="S90" s="17">
        <f>68.92*100</f>
        <v>6892</v>
      </c>
      <c r="T90" s="17">
        <v>6892</v>
      </c>
      <c r="U90" s="17">
        <v>29272.48</v>
      </c>
      <c r="V90" s="17">
        <v>29272.48</v>
      </c>
      <c r="W90" s="17">
        <v>105000</v>
      </c>
      <c r="X90" s="17">
        <v>49594</v>
      </c>
      <c r="Y90" s="17">
        <f>3282.05*100</f>
        <v>328205</v>
      </c>
      <c r="Z90" s="17">
        <f>3282.05*100</f>
        <v>328205</v>
      </c>
      <c r="AA90" s="17">
        <f>580.36*100</f>
        <v>58036</v>
      </c>
      <c r="AB90" s="17">
        <f>580.36*100</f>
        <v>58036</v>
      </c>
      <c r="AC90" s="17">
        <v>115586.61</v>
      </c>
      <c r="AD90" s="17">
        <v>115586.61</v>
      </c>
      <c r="AE90" s="20">
        <v>378448.91</v>
      </c>
      <c r="AF90" s="20">
        <v>378448.91</v>
      </c>
      <c r="AG90" s="20">
        <f>13622.59+22</f>
        <v>13644.59</v>
      </c>
      <c r="AH90" s="20">
        <f>13044.13+12</f>
        <v>13056.13</v>
      </c>
      <c r="AI90" s="17">
        <v>16250</v>
      </c>
      <c r="AJ90" s="17">
        <v>17212</v>
      </c>
      <c r="AK90" s="17">
        <f>122.4+655+125+7141</f>
        <v>8043.4</v>
      </c>
      <c r="AL90" s="17">
        <f>122.4+691+120+4302.76</f>
        <v>5236.16</v>
      </c>
      <c r="AM90" s="17">
        <v>11817</v>
      </c>
      <c r="AN90" s="17">
        <v>6064.01</v>
      </c>
      <c r="AO90" s="17">
        <v>36138</v>
      </c>
      <c r="AP90" s="17">
        <v>11325</v>
      </c>
      <c r="AQ90" s="17">
        <v>14200</v>
      </c>
      <c r="AR90" s="17">
        <v>7152</v>
      </c>
      <c r="AS90" s="17">
        <v>303635.32</v>
      </c>
      <c r="AT90" s="17">
        <v>303635.32</v>
      </c>
      <c r="AU90" s="17">
        <v>22660.54</v>
      </c>
      <c r="AV90" s="17">
        <v>22660.54</v>
      </c>
      <c r="AW90" s="17">
        <f>2238.67*100</f>
        <v>223867</v>
      </c>
      <c r="AX90" s="17">
        <f>2226.73*100</f>
        <v>222673</v>
      </c>
      <c r="AY90" s="17">
        <v>11427.99</v>
      </c>
      <c r="AZ90" s="17">
        <v>9656.99</v>
      </c>
      <c r="BA90" s="17">
        <v>541743</v>
      </c>
      <c r="BB90" s="17">
        <v>527393</v>
      </c>
      <c r="BC90" s="17">
        <v>31567.14</v>
      </c>
      <c r="BD90" s="17">
        <v>31567.14</v>
      </c>
      <c r="BE90" s="17">
        <v>344899</v>
      </c>
      <c r="BF90" s="17">
        <v>344899</v>
      </c>
      <c r="BG90" s="17">
        <f t="shared" si="41"/>
        <v>3626199.72</v>
      </c>
      <c r="BH90" s="17">
        <f t="shared" si="41"/>
        <v>3494441.13</v>
      </c>
      <c r="BI90" s="17">
        <v>3364</v>
      </c>
      <c r="BJ90" s="17">
        <v>3364</v>
      </c>
      <c r="BK90" s="17">
        <v>31328</v>
      </c>
      <c r="BL90" s="17">
        <v>31662</v>
      </c>
      <c r="BM90" s="17">
        <v>2013</v>
      </c>
      <c r="BN90" s="17">
        <v>2013</v>
      </c>
      <c r="BO90" s="17">
        <v>3005</v>
      </c>
      <c r="BP90" s="17">
        <v>3005</v>
      </c>
      <c r="BQ90" s="17">
        <v>150570</v>
      </c>
      <c r="BR90" s="17">
        <v>150570</v>
      </c>
      <c r="BS90" s="17">
        <v>1500</v>
      </c>
      <c r="BT90" s="17">
        <v>1500</v>
      </c>
      <c r="BU90" s="17">
        <v>21854.55</v>
      </c>
      <c r="BV90" s="17">
        <v>5545.91</v>
      </c>
      <c r="BW90" s="17">
        <f t="shared" si="42"/>
        <v>213634.55</v>
      </c>
      <c r="BX90" s="17">
        <f t="shared" si="43"/>
        <v>197659.91</v>
      </c>
      <c r="BY90" s="17">
        <f t="shared" si="44"/>
        <v>3839834.27</v>
      </c>
      <c r="BZ90" s="17">
        <f t="shared" si="44"/>
        <v>3692101.04</v>
      </c>
    </row>
    <row r="91" spans="1:78" ht="19.5">
      <c r="A91" s="18"/>
      <c r="B91" s="18" t="s">
        <v>129</v>
      </c>
      <c r="C91" s="20">
        <v>2755</v>
      </c>
      <c r="D91" s="20">
        <v>2755</v>
      </c>
      <c r="E91" s="17">
        <v>294</v>
      </c>
      <c r="F91" s="17">
        <v>294</v>
      </c>
      <c r="G91" s="17">
        <v>350</v>
      </c>
      <c r="H91" s="17">
        <v>489</v>
      </c>
      <c r="I91" s="17">
        <v>851.43</v>
      </c>
      <c r="J91" s="17">
        <v>651.43</v>
      </c>
      <c r="K91" s="17">
        <f>0.6*100</f>
        <v>60</v>
      </c>
      <c r="L91" s="17">
        <f>0.6*100</f>
        <v>60</v>
      </c>
      <c r="M91" s="17">
        <v>1247</v>
      </c>
      <c r="N91" s="17">
        <v>1247</v>
      </c>
      <c r="O91" s="17">
        <v>5000</v>
      </c>
      <c r="P91" s="17">
        <v>5000</v>
      </c>
      <c r="Q91" s="17">
        <v>2650</v>
      </c>
      <c r="R91" s="17">
        <f>3900+48080</f>
        <v>51980</v>
      </c>
      <c r="S91" s="17">
        <f>0.5*100</f>
        <v>50</v>
      </c>
      <c r="T91" s="17">
        <v>50</v>
      </c>
      <c r="U91" s="17">
        <v>597.56</v>
      </c>
      <c r="V91" s="17">
        <v>597.56</v>
      </c>
      <c r="W91" s="17">
        <v>1650</v>
      </c>
      <c r="X91" s="17">
        <v>1650</v>
      </c>
      <c r="Y91" s="17">
        <f>33.05*100</f>
        <v>3304.9999999999995</v>
      </c>
      <c r="Z91" s="17">
        <f>33.05*100</f>
        <v>3304.9999999999995</v>
      </c>
      <c r="AA91" s="17">
        <f>20*100</f>
        <v>2000</v>
      </c>
      <c r="AB91" s="17">
        <f>20*100</f>
        <v>2000</v>
      </c>
      <c r="AC91" s="17">
        <v>533</v>
      </c>
      <c r="AD91" s="17">
        <v>533</v>
      </c>
      <c r="AE91" s="20">
        <v>887.45</v>
      </c>
      <c r="AF91" s="20">
        <v>887.45</v>
      </c>
      <c r="AG91" s="20">
        <v>135</v>
      </c>
      <c r="AH91" s="20">
        <v>111</v>
      </c>
      <c r="AI91" s="17">
        <v>1200</v>
      </c>
      <c r="AJ91" s="17">
        <v>1200</v>
      </c>
      <c r="AK91" s="17">
        <v>285</v>
      </c>
      <c r="AL91" s="17">
        <v>294.5</v>
      </c>
      <c r="AM91" s="17">
        <v>650</v>
      </c>
      <c r="AN91" s="17">
        <v>697.7</v>
      </c>
      <c r="AO91" s="17">
        <v>875</v>
      </c>
      <c r="AP91" s="17">
        <v>700</v>
      </c>
      <c r="AQ91" s="17">
        <v>1786</v>
      </c>
      <c r="AR91" s="17">
        <v>1645</v>
      </c>
      <c r="AS91" s="17">
        <v>4.46</v>
      </c>
      <c r="AT91" s="17">
        <v>4.46</v>
      </c>
      <c r="AU91" s="17">
        <v>417.61</v>
      </c>
      <c r="AV91" s="17">
        <v>417.61</v>
      </c>
      <c r="AW91" s="17">
        <f>11.51*100</f>
        <v>1151</v>
      </c>
      <c r="AX91" s="17">
        <f>2.1*100</f>
        <v>210</v>
      </c>
      <c r="AY91" s="17">
        <v>853.8</v>
      </c>
      <c r="AZ91" s="17">
        <v>811.86</v>
      </c>
      <c r="BA91" s="17">
        <v>50</v>
      </c>
      <c r="BB91" s="17">
        <v>30</v>
      </c>
      <c r="BC91" s="17">
        <v>755.78</v>
      </c>
      <c r="BD91" s="17">
        <v>755.78</v>
      </c>
      <c r="BE91" s="17">
        <v>751.1</v>
      </c>
      <c r="BF91" s="17">
        <v>751.1</v>
      </c>
      <c r="BG91" s="17">
        <f t="shared" si="41"/>
        <v>31145.189999999995</v>
      </c>
      <c r="BH91" s="17">
        <f t="shared" si="41"/>
        <v>79128.45</v>
      </c>
      <c r="BI91" s="17">
        <v>196</v>
      </c>
      <c r="BJ91" s="17">
        <v>196</v>
      </c>
      <c r="BK91" s="17">
        <v>40</v>
      </c>
      <c r="BL91" s="17">
        <v>40</v>
      </c>
      <c r="BM91" s="17">
        <v>12</v>
      </c>
      <c r="BN91" s="17">
        <v>12</v>
      </c>
      <c r="BO91" s="17">
        <v>22</v>
      </c>
      <c r="BP91" s="17">
        <v>22</v>
      </c>
      <c r="BQ91" s="17">
        <v>0</v>
      </c>
      <c r="BR91" s="17">
        <v>0</v>
      </c>
      <c r="BS91" s="17">
        <v>150</v>
      </c>
      <c r="BT91" s="17">
        <v>150</v>
      </c>
      <c r="BU91" s="17">
        <v>170</v>
      </c>
      <c r="BV91" s="17">
        <v>125</v>
      </c>
      <c r="BW91" s="17">
        <f t="shared" si="42"/>
        <v>590</v>
      </c>
      <c r="BX91" s="17">
        <f t="shared" si="43"/>
        <v>545</v>
      </c>
      <c r="BY91" s="17">
        <f t="shared" si="44"/>
        <v>31735.189999999995</v>
      </c>
      <c r="BZ91" s="17">
        <f t="shared" si="44"/>
        <v>79673.45</v>
      </c>
    </row>
    <row r="92" spans="1:78" ht="19.5">
      <c r="A92" s="30"/>
      <c r="B92" s="30" t="s">
        <v>130</v>
      </c>
      <c r="C92" s="20">
        <v>318244.5</v>
      </c>
      <c r="D92" s="20">
        <v>318244.5</v>
      </c>
      <c r="E92" s="17">
        <v>0</v>
      </c>
      <c r="F92" s="17">
        <v>0</v>
      </c>
      <c r="G92" s="17">
        <f>9565.05+2100</f>
        <v>11665.05</v>
      </c>
      <c r="H92" s="17">
        <f>9299.05+2100</f>
        <v>11399.05</v>
      </c>
      <c r="I92" s="17">
        <f>34109.15+6891.17</f>
        <v>41000.32</v>
      </c>
      <c r="J92" s="17">
        <f>71064.75+16991.17</f>
        <v>88055.92</v>
      </c>
      <c r="K92" s="17">
        <f>228.43*100</f>
        <v>22843</v>
      </c>
      <c r="L92" s="17">
        <f>228.43*100</f>
        <v>22843</v>
      </c>
      <c r="M92" s="17">
        <v>5327</v>
      </c>
      <c r="N92" s="17">
        <v>5327</v>
      </c>
      <c r="O92" s="17">
        <v>144271.41</v>
      </c>
      <c r="P92" s="17">
        <v>144271.41</v>
      </c>
      <c r="Q92" s="17">
        <v>10000</v>
      </c>
      <c r="R92" s="17">
        <v>10000</v>
      </c>
      <c r="S92" s="17">
        <f>44.72*100</f>
        <v>4472</v>
      </c>
      <c r="T92" s="17">
        <v>4472</v>
      </c>
      <c r="U92" s="17">
        <v>1990.1</v>
      </c>
      <c r="V92" s="17">
        <v>1990.1</v>
      </c>
      <c r="W92" s="17">
        <v>46675</v>
      </c>
      <c r="X92" s="17">
        <v>53277</v>
      </c>
      <c r="Y92" s="17">
        <f>1292.87*100</f>
        <v>129286.99999999999</v>
      </c>
      <c r="Z92" s="17">
        <f>1292.87*100</f>
        <v>129286.99999999999</v>
      </c>
      <c r="AA92" s="31">
        <v>73968</v>
      </c>
      <c r="AB92" s="31">
        <v>73968</v>
      </c>
      <c r="AC92" s="17">
        <v>65173.89</v>
      </c>
      <c r="AD92" s="17">
        <v>65173.89</v>
      </c>
      <c r="AE92" s="20">
        <v>325633.11</v>
      </c>
      <c r="AF92" s="20">
        <v>325633.11</v>
      </c>
      <c r="AG92" s="20">
        <v>5235</v>
      </c>
      <c r="AH92" s="20">
        <f>2714+1321</f>
        <v>4035</v>
      </c>
      <c r="AI92" s="17">
        <v>20</v>
      </c>
      <c r="AJ92" s="17">
        <v>20</v>
      </c>
      <c r="AK92" s="17">
        <v>0</v>
      </c>
      <c r="AL92" s="17">
        <v>0</v>
      </c>
      <c r="AM92" s="17">
        <v>0</v>
      </c>
      <c r="AN92" s="17">
        <v>0</v>
      </c>
      <c r="AO92" s="17">
        <v>47100</v>
      </c>
      <c r="AP92" s="17">
        <v>44600</v>
      </c>
      <c r="AQ92" s="17">
        <v>27504.61</v>
      </c>
      <c r="AR92" s="17">
        <v>26583.11</v>
      </c>
      <c r="AS92" s="17">
        <v>48815.23</v>
      </c>
      <c r="AT92" s="17">
        <v>48815.23</v>
      </c>
      <c r="AU92" s="17">
        <v>98.96</v>
      </c>
      <c r="AV92" s="17">
        <v>98.96</v>
      </c>
      <c r="AW92" s="17">
        <f>1024.49*100</f>
        <v>102449</v>
      </c>
      <c r="AX92" s="17">
        <f>708.54*100</f>
        <v>70854</v>
      </c>
      <c r="AY92" s="17">
        <v>6555.25</v>
      </c>
      <c r="AZ92" s="17">
        <v>6828.05</v>
      </c>
      <c r="BA92" s="17">
        <v>105539</v>
      </c>
      <c r="BB92" s="17">
        <v>61619</v>
      </c>
      <c r="BC92" s="17">
        <f>6000+3400+248.55+1268.55</f>
        <v>10917.099999999999</v>
      </c>
      <c r="BD92" s="17">
        <f>6000+3400+248.55+1268.55</f>
        <v>10917.099999999999</v>
      </c>
      <c r="BE92" s="17">
        <v>28932</v>
      </c>
      <c r="BF92" s="17">
        <v>28932</v>
      </c>
      <c r="BG92" s="17">
        <f t="shared" si="41"/>
        <v>1583716.53</v>
      </c>
      <c r="BH92" s="17">
        <f t="shared" si="41"/>
        <v>1557244.4300000002</v>
      </c>
      <c r="BI92" s="17">
        <v>300</v>
      </c>
      <c r="BJ92" s="17">
        <v>300</v>
      </c>
      <c r="BK92" s="17">
        <v>87</v>
      </c>
      <c r="BL92" s="17">
        <v>80</v>
      </c>
      <c r="BM92" s="17">
        <v>99</v>
      </c>
      <c r="BN92" s="17">
        <v>99</v>
      </c>
      <c r="BO92" s="17">
        <v>58</v>
      </c>
      <c r="BP92" s="17">
        <v>58</v>
      </c>
      <c r="BQ92" s="17">
        <v>25000</v>
      </c>
      <c r="BR92" s="17">
        <v>25000</v>
      </c>
      <c r="BS92" s="17">
        <v>0</v>
      </c>
      <c r="BT92" s="17">
        <v>0</v>
      </c>
      <c r="BU92" s="17">
        <v>8413</v>
      </c>
      <c r="BV92" s="17">
        <v>4992.37</v>
      </c>
      <c r="BW92" s="17">
        <f t="shared" si="42"/>
        <v>33957</v>
      </c>
      <c r="BX92" s="17">
        <f t="shared" si="43"/>
        <v>30529.37</v>
      </c>
      <c r="BY92" s="17">
        <f t="shared" si="44"/>
        <v>1617673.53</v>
      </c>
      <c r="BZ92" s="17">
        <f t="shared" si="44"/>
        <v>1587773.8000000003</v>
      </c>
    </row>
    <row r="93" spans="1:78" ht="19.5">
      <c r="A93" s="18"/>
      <c r="B93" s="18" t="s">
        <v>131</v>
      </c>
      <c r="C93" s="20">
        <v>7374.79</v>
      </c>
      <c r="D93" s="20">
        <v>7374.79</v>
      </c>
      <c r="E93" s="17">
        <v>253.39</v>
      </c>
      <c r="F93" s="17">
        <v>253.39</v>
      </c>
      <c r="G93" s="17">
        <v>9459.06</v>
      </c>
      <c r="H93" s="17">
        <v>5965.06</v>
      </c>
      <c r="I93" s="17">
        <v>10366.53</v>
      </c>
      <c r="J93" s="17">
        <v>9185.53</v>
      </c>
      <c r="K93" s="17">
        <f>111.51*100</f>
        <v>11151</v>
      </c>
      <c r="L93" s="17">
        <f>111.51*100</f>
        <v>11151</v>
      </c>
      <c r="M93" s="17">
        <v>7765.8</v>
      </c>
      <c r="N93" s="17">
        <v>7765.8</v>
      </c>
      <c r="O93" s="17">
        <v>33443.5</v>
      </c>
      <c r="P93" s="17">
        <v>33443.5</v>
      </c>
      <c r="Q93" s="17">
        <v>14165</v>
      </c>
      <c r="R93" s="17">
        <f>90+1121+532.57</f>
        <v>1743.5700000000002</v>
      </c>
      <c r="S93" s="17">
        <f>0.49*100</f>
        <v>49</v>
      </c>
      <c r="T93" s="17">
        <v>49</v>
      </c>
      <c r="U93" s="17">
        <f>266.22+8381+2100</f>
        <v>10747.22</v>
      </c>
      <c r="V93" s="17">
        <f>266.22+8381+2100</f>
        <v>10747.22</v>
      </c>
      <c r="W93" s="17">
        <v>47650</v>
      </c>
      <c r="X93" s="17">
        <v>44650</v>
      </c>
      <c r="Y93" s="17">
        <f>319.46*100</f>
        <v>31945.999999999996</v>
      </c>
      <c r="Z93" s="17">
        <f>319.46*100</f>
        <v>31945.999999999996</v>
      </c>
      <c r="AA93" s="17">
        <f>353.55*100</f>
        <v>35355</v>
      </c>
      <c r="AB93" s="17">
        <f>353.55*100</f>
        <v>35355</v>
      </c>
      <c r="AC93" s="17">
        <v>10212.38</v>
      </c>
      <c r="AD93" s="17">
        <v>10212.38</v>
      </c>
      <c r="AE93" s="20">
        <v>4109</v>
      </c>
      <c r="AF93" s="20">
        <v>4109</v>
      </c>
      <c r="AG93" s="20">
        <f>22+160+520</f>
        <v>702</v>
      </c>
      <c r="AH93" s="20">
        <f>10+100+230+8817.59</f>
        <v>9157.59</v>
      </c>
      <c r="AI93" s="17">
        <f>200+1105+500</f>
        <v>1805</v>
      </c>
      <c r="AJ93" s="17">
        <f>200+950+500</f>
        <v>1650</v>
      </c>
      <c r="AK93" s="17">
        <v>250</v>
      </c>
      <c r="AL93" s="17">
        <v>274.21</v>
      </c>
      <c r="AM93" s="17">
        <f>377+77+415</f>
        <v>869</v>
      </c>
      <c r="AN93" s="17">
        <f>492+177+416.15</f>
        <v>1085.15</v>
      </c>
      <c r="AO93" s="17">
        <v>3793</v>
      </c>
      <c r="AP93" s="17">
        <v>3862</v>
      </c>
      <c r="AQ93" s="17">
        <f>210.64+2800+2565.3+1330</f>
        <v>6905.9400000000005</v>
      </c>
      <c r="AR93" s="17">
        <f>61+975+1134.5+302</f>
        <v>2472.5</v>
      </c>
      <c r="AS93" s="17">
        <v>1551.69</v>
      </c>
      <c r="AT93" s="17">
        <v>1551.69</v>
      </c>
      <c r="AU93" s="17">
        <f>54.54+35.03</f>
        <v>89.57</v>
      </c>
      <c r="AV93" s="17">
        <f>54.54+35.03</f>
        <v>89.57</v>
      </c>
      <c r="AW93" s="17">
        <f>219*100</f>
        <v>21900</v>
      </c>
      <c r="AX93" s="17">
        <f>219*100</f>
        <v>21900</v>
      </c>
      <c r="AY93" s="17">
        <f>158.66+7.43+27.76+1366.23</f>
        <v>1560.08</v>
      </c>
      <c r="AZ93" s="17">
        <f>109.39+7.9+20.59+1356.11</f>
        <v>1493.9899999999998</v>
      </c>
      <c r="BA93" s="17">
        <f>394+383+11360</f>
        <v>12137</v>
      </c>
      <c r="BB93" s="17">
        <f>55+192+5564</f>
        <v>5811</v>
      </c>
      <c r="BC93" s="17">
        <v>4989.57</v>
      </c>
      <c r="BD93" s="17">
        <v>4989.57</v>
      </c>
      <c r="BE93" s="17">
        <v>11239.5</v>
      </c>
      <c r="BF93" s="17">
        <v>11239.5</v>
      </c>
      <c r="BG93" s="17">
        <f t="shared" si="41"/>
        <v>301840.02</v>
      </c>
      <c r="BH93" s="17">
        <f t="shared" si="41"/>
        <v>279528.01</v>
      </c>
      <c r="BI93" s="17">
        <v>469</v>
      </c>
      <c r="BJ93" s="17">
        <v>469</v>
      </c>
      <c r="BK93" s="17">
        <v>75</v>
      </c>
      <c r="BL93" s="17">
        <v>102</v>
      </c>
      <c r="BM93" s="17">
        <v>79</v>
      </c>
      <c r="BN93" s="17">
        <v>79</v>
      </c>
      <c r="BO93" s="17">
        <v>324</v>
      </c>
      <c r="BP93" s="17">
        <v>324</v>
      </c>
      <c r="BQ93" s="17">
        <v>1850</v>
      </c>
      <c r="BR93" s="17">
        <v>1850</v>
      </c>
      <c r="BS93" s="17">
        <v>200</v>
      </c>
      <c r="BT93" s="17">
        <v>200</v>
      </c>
      <c r="BU93" s="17">
        <v>1005</v>
      </c>
      <c r="BV93" s="17">
        <v>838.5</v>
      </c>
      <c r="BW93" s="17">
        <f t="shared" si="42"/>
        <v>4002</v>
      </c>
      <c r="BX93" s="17">
        <f t="shared" si="43"/>
        <v>3862.5</v>
      </c>
      <c r="BY93" s="17">
        <f t="shared" si="44"/>
        <v>305842.02</v>
      </c>
      <c r="BZ93" s="17">
        <f t="shared" si="44"/>
        <v>283390.51</v>
      </c>
    </row>
    <row r="94" spans="1:78" ht="19.5">
      <c r="A94" s="18"/>
      <c r="B94" s="18" t="s">
        <v>132</v>
      </c>
      <c r="C94" s="20">
        <v>32155.78</v>
      </c>
      <c r="D94" s="20">
        <v>32155.78</v>
      </c>
      <c r="E94" s="17">
        <v>3148.5</v>
      </c>
      <c r="F94" s="17">
        <v>3148.5</v>
      </c>
      <c r="G94" s="17">
        <v>14001</v>
      </c>
      <c r="H94" s="17">
        <v>14576</v>
      </c>
      <c r="I94" s="17">
        <v>103374.47</v>
      </c>
      <c r="J94" s="17">
        <v>103886.57</v>
      </c>
      <c r="K94" s="17">
        <f>211.2*100</f>
        <v>21120</v>
      </c>
      <c r="L94" s="17">
        <f>211.2*100</f>
        <v>21120</v>
      </c>
      <c r="M94" s="17">
        <v>19697</v>
      </c>
      <c r="N94" s="17">
        <v>19697</v>
      </c>
      <c r="O94" s="17">
        <v>36216.06</v>
      </c>
      <c r="P94" s="17">
        <v>36216.06</v>
      </c>
      <c r="Q94" s="17">
        <v>236655</v>
      </c>
      <c r="R94" s="17">
        <v>169806</v>
      </c>
      <c r="S94" s="17">
        <f>79.48*100</f>
        <v>7948</v>
      </c>
      <c r="T94" s="17">
        <f>1269+445+2784.69+392+3065+12</f>
        <v>7967.6900000000005</v>
      </c>
      <c r="U94" s="17">
        <f>300+13511.52</f>
        <v>13811.52</v>
      </c>
      <c r="V94" s="17">
        <f>300+13511.52</f>
        <v>13811.52</v>
      </c>
      <c r="W94" s="17">
        <v>13922</v>
      </c>
      <c r="X94" s="17">
        <v>13922</v>
      </c>
      <c r="Y94" s="17">
        <f>693.38*100</f>
        <v>69338</v>
      </c>
      <c r="Z94" s="17">
        <f>693.38*100</f>
        <v>69338</v>
      </c>
      <c r="AA94" s="17">
        <f>275.6*100</f>
        <v>27560.000000000004</v>
      </c>
      <c r="AB94" s="17">
        <f>275.6*100</f>
        <v>27560.000000000004</v>
      </c>
      <c r="AC94" s="17">
        <v>85040.6</v>
      </c>
      <c r="AD94" s="17">
        <v>85040.6</v>
      </c>
      <c r="AE94" s="20">
        <f>123789.91+69915.87</f>
        <v>193705.78</v>
      </c>
      <c r="AF94" s="20">
        <f>123789.91+69915.87</f>
        <v>193705.78</v>
      </c>
      <c r="AG94" s="20">
        <f>7290+3836.95</f>
        <v>11126.95</v>
      </c>
      <c r="AH94" s="20">
        <v>3756.95</v>
      </c>
      <c r="AI94" s="17">
        <v>3700</v>
      </c>
      <c r="AJ94" s="17">
        <v>3625</v>
      </c>
      <c r="AK94" s="17">
        <v>1750</v>
      </c>
      <c r="AL94" s="17">
        <v>2100.88</v>
      </c>
      <c r="AM94" s="17">
        <v>2483</v>
      </c>
      <c r="AN94" s="17">
        <v>2623.71</v>
      </c>
      <c r="AO94" s="17">
        <v>60040.5</v>
      </c>
      <c r="AP94" s="17">
        <v>71354.5</v>
      </c>
      <c r="AQ94" s="17">
        <v>76080.39</v>
      </c>
      <c r="AR94" s="17">
        <v>80256.26</v>
      </c>
      <c r="AS94" s="17">
        <v>24116.33</v>
      </c>
      <c r="AT94" s="17">
        <v>24116.33</v>
      </c>
      <c r="AU94" s="17">
        <v>1091.3</v>
      </c>
      <c r="AV94" s="17">
        <v>1091.3</v>
      </c>
      <c r="AW94" s="17">
        <f>2109.1183*100</f>
        <v>210911.83000000002</v>
      </c>
      <c r="AX94" s="17">
        <f>3092.85*100</f>
        <v>309285</v>
      </c>
      <c r="AY94" s="17">
        <f>6251.83+2083.82+4831.55+612.65</f>
        <v>13779.85</v>
      </c>
      <c r="AZ94" s="17">
        <f>5076.61+1757.46+5435.57</f>
        <v>12269.64</v>
      </c>
      <c r="BA94" s="17">
        <f>49092+191000+24140+122636+100</f>
        <v>386968</v>
      </c>
      <c r="BB94" s="17">
        <f>45502+146524+23512+120658+57</f>
        <v>336253</v>
      </c>
      <c r="BC94" s="17">
        <f>17149.01+3897.11+5630.68+533.6</f>
        <v>27210.399999999998</v>
      </c>
      <c r="BD94" s="17">
        <f>17149.01+3897.11+5630.68+533.6</f>
        <v>27210.399999999998</v>
      </c>
      <c r="BE94" s="17">
        <v>90886.5</v>
      </c>
      <c r="BF94" s="17">
        <v>90886.5</v>
      </c>
      <c r="BG94" s="17">
        <f t="shared" si="41"/>
        <v>1787838.7600000002</v>
      </c>
      <c r="BH94" s="17">
        <f t="shared" si="41"/>
        <v>1776780.97</v>
      </c>
      <c r="BI94" s="17">
        <v>935</v>
      </c>
      <c r="BJ94" s="17">
        <v>935</v>
      </c>
      <c r="BK94" s="17">
        <v>458</v>
      </c>
      <c r="BL94" s="17">
        <v>383.8</v>
      </c>
      <c r="BM94" s="17">
        <v>147</v>
      </c>
      <c r="BN94" s="17">
        <v>147</v>
      </c>
      <c r="BO94" s="17">
        <v>234</v>
      </c>
      <c r="BP94" s="17">
        <v>234</v>
      </c>
      <c r="BQ94" s="17">
        <v>55540</v>
      </c>
      <c r="BR94" s="17">
        <v>55540</v>
      </c>
      <c r="BS94" s="17">
        <v>150</v>
      </c>
      <c r="BT94" s="17">
        <v>150</v>
      </c>
      <c r="BU94" s="17">
        <v>4800</v>
      </c>
      <c r="BV94" s="17">
        <v>5107.61</v>
      </c>
      <c r="BW94" s="17">
        <f t="shared" si="42"/>
        <v>62264</v>
      </c>
      <c r="BX94" s="17">
        <f t="shared" si="43"/>
        <v>62497.41</v>
      </c>
      <c r="BY94" s="17">
        <f t="shared" si="44"/>
        <v>1850102.7600000002</v>
      </c>
      <c r="BZ94" s="17">
        <f t="shared" si="44"/>
        <v>1839278.38</v>
      </c>
    </row>
    <row r="95" spans="1:78" ht="19.5">
      <c r="A95" s="18"/>
      <c r="B95" s="18" t="s">
        <v>133</v>
      </c>
      <c r="C95" s="20">
        <v>53127.44</v>
      </c>
      <c r="D95" s="20">
        <v>53127.44</v>
      </c>
      <c r="E95" s="17">
        <v>360</v>
      </c>
      <c r="F95" s="17">
        <v>360</v>
      </c>
      <c r="G95" s="17">
        <v>4450</v>
      </c>
      <c r="H95" s="17">
        <v>4000</v>
      </c>
      <c r="I95" s="17">
        <v>70587.53</v>
      </c>
      <c r="J95" s="17">
        <v>70587.53</v>
      </c>
      <c r="K95" s="31">
        <f>37256+99874</f>
        <v>137130</v>
      </c>
      <c r="L95" s="31">
        <f>37256+99874</f>
        <v>137130</v>
      </c>
      <c r="M95" s="17">
        <v>2107.5</v>
      </c>
      <c r="N95" s="17">
        <v>2107.5</v>
      </c>
      <c r="O95" s="17">
        <v>168749.61</v>
      </c>
      <c r="P95" s="17">
        <v>168749.61</v>
      </c>
      <c r="Q95" s="17">
        <f>9800+9400</f>
        <v>19200</v>
      </c>
      <c r="R95" s="17">
        <f>13106.26+7400+13300+75</f>
        <v>33881.26</v>
      </c>
      <c r="S95" s="17">
        <f>40.21*100</f>
        <v>4021</v>
      </c>
      <c r="T95" s="17">
        <f>3240+781</f>
        <v>4021</v>
      </c>
      <c r="U95" s="17">
        <f>300.33+9406.56</f>
        <v>9706.89</v>
      </c>
      <c r="V95" s="17">
        <f>300.33+9406.56</f>
        <v>9706.89</v>
      </c>
      <c r="W95" s="17">
        <f>22350+2000+2719+46078</f>
        <v>73147</v>
      </c>
      <c r="X95" s="17">
        <f>22350+2000+2719+46078</f>
        <v>73147</v>
      </c>
      <c r="Y95" s="17">
        <f>1098.23*100</f>
        <v>109823</v>
      </c>
      <c r="Z95" s="17">
        <f>1098.23*100</f>
        <v>109823</v>
      </c>
      <c r="AA95" s="17">
        <f>16.66*100</f>
        <v>1666</v>
      </c>
      <c r="AB95" s="17">
        <f>16.66*100</f>
        <v>1666</v>
      </c>
      <c r="AC95" s="17">
        <v>152004.97</v>
      </c>
      <c r="AD95" s="17">
        <v>152004.97</v>
      </c>
      <c r="AE95" s="20">
        <f>1882.5+40555.45+8292.13+25600+74578+4639+817.25+7624.36+18655+2283.25+104251.3+29642+53996</f>
        <v>372816.24</v>
      </c>
      <c r="AF95" s="20">
        <f>1882.5+40555.45+8292.13+25600+74578+4639+817.25+7624.36+18655+2283.25+104251.3+29642+53996</f>
        <v>372816.24</v>
      </c>
      <c r="AG95" s="20">
        <v>880</v>
      </c>
      <c r="AH95" s="20">
        <v>480</v>
      </c>
      <c r="AI95" s="17">
        <f>660+1250</f>
        <v>1910</v>
      </c>
      <c r="AJ95" s="17">
        <f>660+1250</f>
        <v>1910</v>
      </c>
      <c r="AK95" s="17">
        <v>635</v>
      </c>
      <c r="AL95" s="17">
        <v>635</v>
      </c>
      <c r="AM95" s="17">
        <v>922</v>
      </c>
      <c r="AN95" s="17">
        <v>1025.79</v>
      </c>
      <c r="AO95" s="17">
        <v>77000</v>
      </c>
      <c r="AP95" s="17">
        <v>90582</v>
      </c>
      <c r="AQ95" s="17">
        <v>16294.4</v>
      </c>
      <c r="AR95" s="17">
        <v>16294.4</v>
      </c>
      <c r="AS95" s="17">
        <f>36317+0.03+725.49+1500</f>
        <v>38542.52</v>
      </c>
      <c r="AT95" s="17">
        <f>36317+0.03+725.49+1500</f>
        <v>38542.52</v>
      </c>
      <c r="AU95" s="17">
        <f>803.48+4.79</f>
        <v>808.27</v>
      </c>
      <c r="AV95" s="17">
        <f>803.48+4.79</f>
        <v>808.27</v>
      </c>
      <c r="AW95" s="17">
        <f>83696.54+3525</f>
        <v>87221.54</v>
      </c>
      <c r="AX95" s="17">
        <v>144231</v>
      </c>
      <c r="AY95" s="17">
        <v>12.68</v>
      </c>
      <c r="AZ95" s="17">
        <f>9.45+35.44+7.46</f>
        <v>52.35</v>
      </c>
      <c r="BA95" s="17">
        <v>190227</v>
      </c>
      <c r="BB95" s="17">
        <v>169357</v>
      </c>
      <c r="BC95" s="17">
        <v>15654</v>
      </c>
      <c r="BD95" s="17">
        <v>15654</v>
      </c>
      <c r="BE95" s="17">
        <v>177849.5</v>
      </c>
      <c r="BF95" s="17">
        <v>177849.5</v>
      </c>
      <c r="BG95" s="17">
        <f t="shared" si="41"/>
        <v>1786854.0899999999</v>
      </c>
      <c r="BH95" s="17">
        <f t="shared" si="41"/>
        <v>1850550.27</v>
      </c>
      <c r="BI95" s="17">
        <f>399+75+380+13332</f>
        <v>14186</v>
      </c>
      <c r="BJ95" s="17">
        <f>399+75+380+13332</f>
        <v>14186</v>
      </c>
      <c r="BK95" s="17">
        <f>1379+20</f>
        <v>1399</v>
      </c>
      <c r="BL95" s="17">
        <f>1366.2+19</f>
        <v>1385.2</v>
      </c>
      <c r="BM95" s="17">
        <v>130</v>
      </c>
      <c r="BN95" s="17">
        <v>130</v>
      </c>
      <c r="BO95" s="17">
        <v>240</v>
      </c>
      <c r="BP95" s="17">
        <v>240</v>
      </c>
      <c r="BQ95" s="17">
        <v>49255</v>
      </c>
      <c r="BR95" s="17">
        <v>49255</v>
      </c>
      <c r="BS95" s="17">
        <f>120+43</f>
        <v>163</v>
      </c>
      <c r="BT95" s="17">
        <f>120+43</f>
        <v>163</v>
      </c>
      <c r="BU95" s="17">
        <f>13204.23+2600</f>
        <v>15804.23</v>
      </c>
      <c r="BV95" s="17">
        <f>13997.05+2388.57</f>
        <v>16385.62</v>
      </c>
      <c r="BW95" s="17">
        <f t="shared" si="42"/>
        <v>81177.23</v>
      </c>
      <c r="BX95" s="17">
        <f t="shared" si="43"/>
        <v>81744.81999999999</v>
      </c>
      <c r="BY95" s="17">
        <f t="shared" si="44"/>
        <v>1868031.3199999998</v>
      </c>
      <c r="BZ95" s="17">
        <f t="shared" si="44"/>
        <v>1932295.09</v>
      </c>
    </row>
    <row r="96" spans="1:78" ht="19.5">
      <c r="A96" s="15"/>
      <c r="B96" s="15" t="s">
        <v>134</v>
      </c>
      <c r="C96" s="23">
        <f>SUM(C86:C95)</f>
        <v>1595257.14</v>
      </c>
      <c r="D96" s="23">
        <f>SUM(D86:D95)</f>
        <v>1595257.14</v>
      </c>
      <c r="E96" s="23">
        <f aca="true" t="shared" si="45" ref="E96:BZ96">SUM(E86:E95)</f>
        <v>44545.41</v>
      </c>
      <c r="F96" s="23">
        <f t="shared" si="45"/>
        <v>44545.41</v>
      </c>
      <c r="G96" s="23">
        <f t="shared" si="45"/>
        <v>245450.84999999998</v>
      </c>
      <c r="H96" s="23">
        <f t="shared" si="45"/>
        <v>261442.03</v>
      </c>
      <c r="I96" s="23">
        <f t="shared" si="45"/>
        <v>840635.63</v>
      </c>
      <c r="J96" s="23">
        <f t="shared" si="45"/>
        <v>834805.3300000001</v>
      </c>
      <c r="K96" s="23">
        <f t="shared" si="45"/>
        <v>839970</v>
      </c>
      <c r="L96" s="23">
        <f t="shared" si="45"/>
        <v>839970</v>
      </c>
      <c r="M96" s="23">
        <f t="shared" si="45"/>
        <v>136812.3</v>
      </c>
      <c r="N96" s="23">
        <f t="shared" si="45"/>
        <v>136812.3</v>
      </c>
      <c r="O96" s="23">
        <f t="shared" si="45"/>
        <v>1502400.6400000001</v>
      </c>
      <c r="P96" s="23">
        <f t="shared" si="45"/>
        <v>1502400.6400000001</v>
      </c>
      <c r="Q96" s="23">
        <f t="shared" si="45"/>
        <v>714103.7</v>
      </c>
      <c r="R96" s="23">
        <f t="shared" si="45"/>
        <v>749435.2599999999</v>
      </c>
      <c r="S96" s="23">
        <f t="shared" si="45"/>
        <v>99649</v>
      </c>
      <c r="T96" s="23">
        <f t="shared" si="45"/>
        <v>99668.69</v>
      </c>
      <c r="U96" s="23">
        <f t="shared" si="45"/>
        <v>228528.14</v>
      </c>
      <c r="V96" s="23">
        <f t="shared" si="45"/>
        <v>228528.14</v>
      </c>
      <c r="W96" s="23">
        <f t="shared" si="45"/>
        <v>518644</v>
      </c>
      <c r="X96" s="23">
        <f t="shared" si="45"/>
        <v>434841</v>
      </c>
      <c r="Y96" s="23">
        <f t="shared" si="45"/>
        <v>1417852</v>
      </c>
      <c r="Z96" s="23">
        <f t="shared" si="45"/>
        <v>1417852</v>
      </c>
      <c r="AA96" s="23">
        <f t="shared" si="45"/>
        <v>386639</v>
      </c>
      <c r="AB96" s="23">
        <f t="shared" si="45"/>
        <v>386639</v>
      </c>
      <c r="AC96" s="23">
        <f t="shared" si="45"/>
        <v>887370.42</v>
      </c>
      <c r="AD96" s="23">
        <f t="shared" si="45"/>
        <v>887370.42</v>
      </c>
      <c r="AE96" s="23">
        <f t="shared" si="45"/>
        <v>1955801.02</v>
      </c>
      <c r="AF96" s="23">
        <f t="shared" si="45"/>
        <v>1955801.02</v>
      </c>
      <c r="AG96" s="23">
        <f t="shared" si="45"/>
        <v>94691.52</v>
      </c>
      <c r="AH96" s="23">
        <f t="shared" si="45"/>
        <v>92393.65</v>
      </c>
      <c r="AI96" s="23">
        <f t="shared" si="45"/>
        <v>82581</v>
      </c>
      <c r="AJ96" s="23">
        <f t="shared" si="45"/>
        <v>83668</v>
      </c>
      <c r="AK96" s="23">
        <f t="shared" si="45"/>
        <v>53464.76</v>
      </c>
      <c r="AL96" s="23">
        <f t="shared" si="45"/>
        <v>54155.169999999984</v>
      </c>
      <c r="AM96" s="23">
        <f t="shared" si="45"/>
        <v>47581.54</v>
      </c>
      <c r="AN96" s="23">
        <f t="shared" si="45"/>
        <v>49183.95</v>
      </c>
      <c r="AO96" s="23">
        <f t="shared" si="45"/>
        <v>473494.5</v>
      </c>
      <c r="AP96" s="23">
        <f t="shared" si="45"/>
        <v>436756.5</v>
      </c>
      <c r="AQ96" s="23">
        <f t="shared" si="45"/>
        <v>355847.22000000003</v>
      </c>
      <c r="AR96" s="23">
        <f t="shared" si="45"/>
        <v>335985.78</v>
      </c>
      <c r="AS96" s="23">
        <f t="shared" si="45"/>
        <v>835320.4899999999</v>
      </c>
      <c r="AT96" s="23">
        <f t="shared" si="45"/>
        <v>835320.4899999999</v>
      </c>
      <c r="AU96" s="23">
        <f t="shared" si="45"/>
        <v>56477.96</v>
      </c>
      <c r="AV96" s="23">
        <f t="shared" si="45"/>
        <v>56477.96</v>
      </c>
      <c r="AW96" s="23">
        <f t="shared" si="45"/>
        <v>1094998.12</v>
      </c>
      <c r="AX96" s="23">
        <f t="shared" si="45"/>
        <v>1261149</v>
      </c>
      <c r="AY96" s="23">
        <f t="shared" si="45"/>
        <v>90667.19</v>
      </c>
      <c r="AZ96" s="23">
        <f t="shared" si="45"/>
        <v>83345.28000000001</v>
      </c>
      <c r="BA96" s="23">
        <f t="shared" si="45"/>
        <v>2110771</v>
      </c>
      <c r="BB96" s="23">
        <f t="shared" si="45"/>
        <v>1730220</v>
      </c>
      <c r="BC96" s="23">
        <f t="shared" si="45"/>
        <v>269693.62</v>
      </c>
      <c r="BD96" s="23">
        <f t="shared" si="45"/>
        <v>269693.62</v>
      </c>
      <c r="BE96" s="23">
        <f t="shared" si="45"/>
        <v>1207810.1</v>
      </c>
      <c r="BF96" s="23">
        <f t="shared" si="45"/>
        <v>1207810.1</v>
      </c>
      <c r="BG96" s="23">
        <f t="shared" si="45"/>
        <v>18187058.27</v>
      </c>
      <c r="BH96" s="23">
        <f t="shared" si="45"/>
        <v>17871527.88</v>
      </c>
      <c r="BI96" s="23">
        <f t="shared" si="45"/>
        <v>52830</v>
      </c>
      <c r="BJ96" s="23">
        <f t="shared" si="45"/>
        <v>52830</v>
      </c>
      <c r="BK96" s="23">
        <f t="shared" si="45"/>
        <v>56519</v>
      </c>
      <c r="BL96" s="23">
        <f t="shared" si="45"/>
        <v>55040</v>
      </c>
      <c r="BM96" s="23">
        <f t="shared" si="45"/>
        <v>13933</v>
      </c>
      <c r="BN96" s="23">
        <f t="shared" si="45"/>
        <v>13933</v>
      </c>
      <c r="BO96" s="23">
        <f t="shared" si="45"/>
        <v>12133</v>
      </c>
      <c r="BP96" s="23">
        <f t="shared" si="45"/>
        <v>12133</v>
      </c>
      <c r="BQ96" s="23">
        <f t="shared" si="45"/>
        <v>829179</v>
      </c>
      <c r="BR96" s="23">
        <f t="shared" si="45"/>
        <v>829179</v>
      </c>
      <c r="BS96" s="23">
        <f t="shared" si="45"/>
        <v>10393</v>
      </c>
      <c r="BT96" s="23">
        <f t="shared" si="45"/>
        <v>10393</v>
      </c>
      <c r="BU96" s="23">
        <f t="shared" si="45"/>
        <v>154520.36000000002</v>
      </c>
      <c r="BV96" s="23">
        <f t="shared" si="45"/>
        <v>93320.18999999999</v>
      </c>
      <c r="BW96" s="23">
        <f t="shared" si="45"/>
        <v>1129507.3599999999</v>
      </c>
      <c r="BX96" s="23">
        <f t="shared" si="45"/>
        <v>1066828.19</v>
      </c>
      <c r="BY96" s="23">
        <f t="shared" si="45"/>
        <v>19316565.63</v>
      </c>
      <c r="BZ96" s="23">
        <f t="shared" si="45"/>
        <v>18938356.07</v>
      </c>
    </row>
    <row r="97" spans="1:78" ht="19.5">
      <c r="A97" s="15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20"/>
      <c r="AF97" s="20"/>
      <c r="AG97" s="20"/>
      <c r="AH97" s="20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</row>
    <row r="98" spans="1:78" ht="19.5">
      <c r="A98" s="15" t="s">
        <v>135</v>
      </c>
      <c r="B98" s="15" t="s">
        <v>136</v>
      </c>
      <c r="C98" s="23">
        <v>25759</v>
      </c>
      <c r="D98" s="23">
        <v>25759</v>
      </c>
      <c r="E98" s="23">
        <v>2878.35</v>
      </c>
      <c r="F98" s="23">
        <v>2878.35</v>
      </c>
      <c r="G98" s="23">
        <v>71974.52</v>
      </c>
      <c r="H98" s="23">
        <v>70878.52</v>
      </c>
      <c r="I98" s="23">
        <v>91332.59</v>
      </c>
      <c r="J98" s="23">
        <v>44569.3</v>
      </c>
      <c r="K98" s="23">
        <f>11660+33100</f>
        <v>44760</v>
      </c>
      <c r="L98" s="23">
        <f>11660+33100</f>
        <v>44760</v>
      </c>
      <c r="M98" s="23">
        <v>50492.05</v>
      </c>
      <c r="N98" s="23">
        <v>50492.05</v>
      </c>
      <c r="O98" s="23">
        <f>961+200+25+110+25+5+11.2+50+300+42.82+50+331+712+10+75+25+25</f>
        <v>2958.02</v>
      </c>
      <c r="P98" s="23">
        <f>961+200+25+110+25+5+11.2+50+300+42.82+50+331+712+10+75+25+25</f>
        <v>2958.02</v>
      </c>
      <c r="Q98" s="23">
        <v>724537</v>
      </c>
      <c r="R98" s="23">
        <f>13705+496000+197000</f>
        <v>706705</v>
      </c>
      <c r="S98" s="23">
        <f>54.48*100</f>
        <v>5448</v>
      </c>
      <c r="T98" s="23">
        <v>5448</v>
      </c>
      <c r="U98" s="23">
        <v>63734.3</v>
      </c>
      <c r="V98" s="23">
        <v>63734.3</v>
      </c>
      <c r="W98" s="23">
        <v>22600</v>
      </c>
      <c r="X98" s="23">
        <v>24070</v>
      </c>
      <c r="Y98" s="23">
        <v>66420</v>
      </c>
      <c r="Z98" s="23">
        <v>66420</v>
      </c>
      <c r="AA98" s="23">
        <f>3130+257405</f>
        <v>260535</v>
      </c>
      <c r="AB98" s="23">
        <f>3130+257405</f>
        <v>260535</v>
      </c>
      <c r="AC98" s="23">
        <v>20178.5</v>
      </c>
      <c r="AD98" s="23">
        <v>20178.5</v>
      </c>
      <c r="AE98" s="23">
        <f>140987.06+36834.66</f>
        <v>177821.72</v>
      </c>
      <c r="AF98" s="23">
        <f>140987.06+36834.66</f>
        <v>177821.72</v>
      </c>
      <c r="AG98" s="23">
        <v>4753.7</v>
      </c>
      <c r="AH98" s="23">
        <v>12711.31</v>
      </c>
      <c r="AI98" s="23">
        <v>7040</v>
      </c>
      <c r="AJ98" s="23">
        <v>5567</v>
      </c>
      <c r="AK98" s="23">
        <v>23458.44</v>
      </c>
      <c r="AL98" s="23">
        <v>23601.65</v>
      </c>
      <c r="AM98" s="23">
        <v>8702.22</v>
      </c>
      <c r="AN98" s="23">
        <v>9790.5</v>
      </c>
      <c r="AO98" s="23">
        <v>17837.1</v>
      </c>
      <c r="AP98" s="23">
        <v>18239</v>
      </c>
      <c r="AQ98" s="23">
        <v>19318.04</v>
      </c>
      <c r="AR98" s="23">
        <v>15737.24</v>
      </c>
      <c r="AS98" s="23">
        <v>14726.57</v>
      </c>
      <c r="AT98" s="23">
        <v>14726.57</v>
      </c>
      <c r="AU98" s="23">
        <v>5531</v>
      </c>
      <c r="AV98" s="23">
        <v>5531</v>
      </c>
      <c r="AW98" s="23">
        <f>108.11*100</f>
        <v>10811</v>
      </c>
      <c r="AX98" s="23">
        <f>27.84*100</f>
        <v>2784</v>
      </c>
      <c r="AY98" s="23">
        <v>6844.25</v>
      </c>
      <c r="AZ98" s="23">
        <v>11803.05</v>
      </c>
      <c r="BA98" s="23">
        <v>24702</v>
      </c>
      <c r="BB98" s="23">
        <v>14521</v>
      </c>
      <c r="BC98" s="23">
        <v>154945.61</v>
      </c>
      <c r="BD98" s="23">
        <v>154945.61</v>
      </c>
      <c r="BE98" s="23">
        <v>40358</v>
      </c>
      <c r="BF98" s="23">
        <v>40358</v>
      </c>
      <c r="BG98" s="23">
        <f>+C98+E98+G98+I98+K98+M98+O98+Q98+S98+U98+W98+Y98+AA98+AC98+AE98+AG98+AI98+AK98+AM98+AO98+AQ98+AS98+AU98+AW98+AY98+BA98+BC98+BE98</f>
        <v>1970456.98</v>
      </c>
      <c r="BH98" s="23">
        <f>+D98+F98+H98+J98+L98+N98+P98+R98+T98+V98+X98+Z98+AB98+AD98+AF98+AH98+AJ98+AL98+AN98+AP98+AR98+AT98+AV98+AX98+AZ98+BB98+BD98+BF98</f>
        <v>1897523.69</v>
      </c>
      <c r="BI98" s="23">
        <v>5490</v>
      </c>
      <c r="BJ98" s="23">
        <v>5490</v>
      </c>
      <c r="BK98" s="23">
        <v>1549</v>
      </c>
      <c r="BL98" s="23">
        <v>1503</v>
      </c>
      <c r="BM98" s="23">
        <v>1548</v>
      </c>
      <c r="BN98" s="23">
        <v>1548</v>
      </c>
      <c r="BO98" s="23">
        <v>1699</v>
      </c>
      <c r="BP98" s="23">
        <v>1699</v>
      </c>
      <c r="BQ98" s="23">
        <f>43585</f>
        <v>43585</v>
      </c>
      <c r="BR98" s="23">
        <f>43585</f>
        <v>43585</v>
      </c>
      <c r="BS98" s="23">
        <v>576</v>
      </c>
      <c r="BT98" s="23">
        <v>576</v>
      </c>
      <c r="BU98" s="23">
        <v>20362.07</v>
      </c>
      <c r="BV98" s="23">
        <v>7795.43</v>
      </c>
      <c r="BW98" s="23">
        <f>SUM(BI98+BK98+BM98+BO98+BQ98+BS98+BU98)</f>
        <v>74809.07</v>
      </c>
      <c r="BX98" s="23">
        <f>SUM(BJ98+BL98+BN98+BP98+BR98+BT98+BV98)</f>
        <v>62196.43</v>
      </c>
      <c r="BY98" s="23">
        <f>+BW98+BG98</f>
        <v>2045266.05</v>
      </c>
      <c r="BZ98" s="23">
        <f>+BX98+BH98</f>
        <v>1959720.1199999999</v>
      </c>
    </row>
    <row r="99" spans="1:78" ht="19.5">
      <c r="A99" s="28"/>
      <c r="B99" s="28"/>
      <c r="C99" s="17"/>
      <c r="D99" s="17"/>
      <c r="E99" s="17"/>
      <c r="F99" s="17"/>
      <c r="G99" s="17"/>
      <c r="H99" s="17"/>
      <c r="I99" s="23"/>
      <c r="J99" s="23"/>
      <c r="K99" s="17"/>
      <c r="L99" s="17"/>
      <c r="M99" s="17"/>
      <c r="N99" s="17"/>
      <c r="O99" s="17"/>
      <c r="P99" s="17"/>
      <c r="Q99" s="32"/>
      <c r="R99" s="32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41"/>
    </row>
    <row r="100" spans="1:78" ht="19.5">
      <c r="A100" s="15"/>
      <c r="B100" s="15" t="s">
        <v>137</v>
      </c>
      <c r="C100" s="23">
        <f>SUM(C22+C37+C39+C46+C48+C54+C63+C70+C78+C96+C98)</f>
        <v>4300000</v>
      </c>
      <c r="D100" s="23">
        <f aca="true" t="shared" si="46" ref="D100:BH100">SUM(D22+D37+D39+D46+D48+D54+D63+D70+D78+D96+D98)</f>
        <v>4300000</v>
      </c>
      <c r="E100" s="23">
        <f t="shared" si="46"/>
        <v>320000</v>
      </c>
      <c r="F100" s="23">
        <f t="shared" si="46"/>
        <v>320000</v>
      </c>
      <c r="G100" s="23">
        <f t="shared" si="46"/>
        <v>900000</v>
      </c>
      <c r="H100" s="23">
        <f t="shared" si="46"/>
        <v>900000</v>
      </c>
      <c r="I100" s="23">
        <f t="shared" si="46"/>
        <v>2400000</v>
      </c>
      <c r="J100" s="23">
        <f t="shared" si="46"/>
        <v>2139000</v>
      </c>
      <c r="K100" s="23">
        <f t="shared" si="46"/>
        <v>1671027</v>
      </c>
      <c r="L100" s="23">
        <f t="shared" si="46"/>
        <v>1671027</v>
      </c>
      <c r="M100" s="23">
        <f t="shared" si="46"/>
        <v>331999.99999999994</v>
      </c>
      <c r="N100" s="23">
        <f t="shared" si="46"/>
        <v>331999.99999999994</v>
      </c>
      <c r="O100" s="23">
        <f t="shared" si="46"/>
        <v>3800000</v>
      </c>
      <c r="P100" s="23">
        <f t="shared" si="46"/>
        <v>3800000</v>
      </c>
      <c r="Q100" s="23">
        <f t="shared" si="46"/>
        <v>2035800</v>
      </c>
      <c r="R100" s="23">
        <f t="shared" si="46"/>
        <v>2033000</v>
      </c>
      <c r="S100" s="23">
        <f t="shared" si="46"/>
        <v>330000</v>
      </c>
      <c r="T100" s="23">
        <f t="shared" si="46"/>
        <v>330684.69</v>
      </c>
      <c r="U100" s="23">
        <f t="shared" si="46"/>
        <v>660000.1000000001</v>
      </c>
      <c r="V100" s="23">
        <f t="shared" si="46"/>
        <v>660000.1000000001</v>
      </c>
      <c r="W100" s="23">
        <f t="shared" si="46"/>
        <v>1532275</v>
      </c>
      <c r="X100" s="23">
        <f t="shared" si="46"/>
        <v>1223275</v>
      </c>
      <c r="Y100" s="23">
        <f t="shared" si="46"/>
        <v>3807002</v>
      </c>
      <c r="Z100" s="23">
        <f t="shared" si="46"/>
        <v>3807002</v>
      </c>
      <c r="AA100" s="23">
        <f t="shared" si="46"/>
        <v>1201000</v>
      </c>
      <c r="AB100" s="23">
        <f t="shared" si="46"/>
        <v>1201000</v>
      </c>
      <c r="AC100" s="23">
        <f t="shared" si="46"/>
        <v>2300000.0000000005</v>
      </c>
      <c r="AD100" s="23">
        <f t="shared" si="46"/>
        <v>2300000.0000000005</v>
      </c>
      <c r="AE100" s="23">
        <f t="shared" si="46"/>
        <v>4200000</v>
      </c>
      <c r="AF100" s="23">
        <f t="shared" si="46"/>
        <v>4200000</v>
      </c>
      <c r="AG100" s="23">
        <f t="shared" si="46"/>
        <v>321000.00000000006</v>
      </c>
      <c r="AH100" s="23">
        <f t="shared" si="46"/>
        <v>275401.97000000003</v>
      </c>
      <c r="AI100" s="23">
        <f t="shared" si="46"/>
        <v>272700</v>
      </c>
      <c r="AJ100" s="23">
        <f t="shared" si="46"/>
        <v>272818</v>
      </c>
      <c r="AK100" s="23">
        <f t="shared" si="46"/>
        <v>170000</v>
      </c>
      <c r="AL100" s="23">
        <f t="shared" si="46"/>
        <v>162493.90999999997</v>
      </c>
      <c r="AM100" s="23">
        <f t="shared" si="46"/>
        <v>181000</v>
      </c>
      <c r="AN100" s="23">
        <f t="shared" si="46"/>
        <v>167435.75</v>
      </c>
      <c r="AO100" s="23">
        <f t="shared" si="46"/>
        <v>1520000</v>
      </c>
      <c r="AP100" s="23">
        <f t="shared" si="46"/>
        <v>1230000</v>
      </c>
      <c r="AQ100" s="23">
        <f t="shared" si="46"/>
        <v>1152000</v>
      </c>
      <c r="AR100" s="23">
        <f t="shared" si="46"/>
        <v>970246.6</v>
      </c>
      <c r="AS100" s="23">
        <f t="shared" si="46"/>
        <v>2749999.9999999995</v>
      </c>
      <c r="AT100" s="23">
        <f t="shared" si="46"/>
        <v>2749999.9999999995</v>
      </c>
      <c r="AU100" s="23">
        <f t="shared" si="46"/>
        <v>140000</v>
      </c>
      <c r="AV100" s="23">
        <f t="shared" si="46"/>
        <v>140000</v>
      </c>
      <c r="AW100" s="23">
        <f t="shared" si="46"/>
        <v>2353499.12</v>
      </c>
      <c r="AX100" s="23">
        <f t="shared" si="46"/>
        <v>2353502</v>
      </c>
      <c r="AY100" s="23">
        <f t="shared" si="46"/>
        <v>195000</v>
      </c>
      <c r="AZ100" s="23">
        <f t="shared" si="46"/>
        <v>164305</v>
      </c>
      <c r="BA100" s="23">
        <f t="shared" si="46"/>
        <v>4700000</v>
      </c>
      <c r="BB100" s="23">
        <f t="shared" si="46"/>
        <v>4239531</v>
      </c>
      <c r="BC100" s="23">
        <f t="shared" si="46"/>
        <v>779999.9999999999</v>
      </c>
      <c r="BD100" s="23">
        <f t="shared" si="46"/>
        <v>779999.9999999999</v>
      </c>
      <c r="BE100" s="23">
        <f t="shared" si="46"/>
        <v>2221400</v>
      </c>
      <c r="BF100" s="23">
        <f t="shared" si="46"/>
        <v>2221400</v>
      </c>
      <c r="BG100" s="23">
        <f t="shared" si="46"/>
        <v>46545703.21999999</v>
      </c>
      <c r="BH100" s="23">
        <f t="shared" si="46"/>
        <v>44944123.019999996</v>
      </c>
      <c r="BI100" s="23">
        <f aca="true" t="shared" si="47" ref="BI100:BZ100">SUM(BI22+BI37+BI39+BI46+BI48+BI54+BI63+BI70+BI78+BI96+BI98)</f>
        <v>143484</v>
      </c>
      <c r="BJ100" s="23">
        <f t="shared" si="47"/>
        <v>143484</v>
      </c>
      <c r="BK100" s="23">
        <f t="shared" si="47"/>
        <v>66189</v>
      </c>
      <c r="BL100" s="23">
        <f t="shared" si="47"/>
        <v>66189</v>
      </c>
      <c r="BM100" s="23">
        <f t="shared" si="47"/>
        <v>33635</v>
      </c>
      <c r="BN100" s="23">
        <f t="shared" si="47"/>
        <v>33635</v>
      </c>
      <c r="BO100" s="23">
        <f t="shared" si="47"/>
        <v>32495</v>
      </c>
      <c r="BP100" s="23">
        <f t="shared" si="47"/>
        <v>32495</v>
      </c>
      <c r="BQ100" s="23">
        <f t="shared" si="47"/>
        <v>1513301</v>
      </c>
      <c r="BR100" s="23">
        <f t="shared" si="47"/>
        <v>1513301</v>
      </c>
      <c r="BS100" s="23">
        <f t="shared" si="47"/>
        <v>38879</v>
      </c>
      <c r="BT100" s="23">
        <f t="shared" si="47"/>
        <v>38879</v>
      </c>
      <c r="BU100" s="23">
        <f t="shared" si="47"/>
        <v>275000</v>
      </c>
      <c r="BV100" s="23">
        <f t="shared" si="47"/>
        <v>166399.99999999997</v>
      </c>
      <c r="BW100" s="23">
        <f t="shared" si="47"/>
        <v>2102983</v>
      </c>
      <c r="BX100" s="23">
        <f t="shared" si="47"/>
        <v>1994383</v>
      </c>
      <c r="BY100" s="23">
        <f t="shared" si="47"/>
        <v>48648686.22</v>
      </c>
      <c r="BZ100" s="23">
        <f t="shared" si="47"/>
        <v>46938506.02</v>
      </c>
    </row>
    <row r="101" spans="19:77" ht="17.25" customHeight="1">
      <c r="S101" s="33"/>
      <c r="T101" s="33"/>
      <c r="W101" s="33"/>
      <c r="X101" s="33"/>
      <c r="AA101" s="33"/>
      <c r="AB101" s="33"/>
      <c r="AE101" s="33"/>
      <c r="AF101" s="33"/>
      <c r="AW101" s="33"/>
      <c r="AX101" s="33"/>
      <c r="BM101" s="21"/>
      <c r="BN101" s="21"/>
      <c r="BU101" s="33"/>
      <c r="BV101" s="33"/>
      <c r="BY101" s="34"/>
    </row>
    <row r="102" spans="2:77" s="38" customFormat="1" ht="24.75" customHeight="1">
      <c r="B102" s="42" t="s">
        <v>140</v>
      </c>
      <c r="C102" s="2"/>
      <c r="D102" s="2" t="s">
        <v>138</v>
      </c>
      <c r="E102" s="2"/>
      <c r="F102" s="2" t="s">
        <v>138</v>
      </c>
      <c r="G102" s="2"/>
      <c r="H102" s="2"/>
      <c r="I102" s="2"/>
      <c r="J102" s="2"/>
      <c r="K102" s="2"/>
      <c r="L102" s="2" t="s">
        <v>138</v>
      </c>
      <c r="M102" s="2"/>
      <c r="N102" s="2" t="s">
        <v>138</v>
      </c>
      <c r="O102" s="2"/>
      <c r="P102" s="2" t="s">
        <v>138</v>
      </c>
      <c r="Q102" s="2"/>
      <c r="S102" s="2"/>
      <c r="T102" s="2"/>
      <c r="U102" s="2"/>
      <c r="V102" s="2" t="s">
        <v>138</v>
      </c>
      <c r="W102" s="2"/>
      <c r="X102" s="2"/>
      <c r="Z102" s="38" t="s">
        <v>138</v>
      </c>
      <c r="AA102" s="2"/>
      <c r="AB102" s="2" t="s">
        <v>138</v>
      </c>
      <c r="AC102" s="2"/>
      <c r="AD102" s="2" t="s">
        <v>138</v>
      </c>
      <c r="AE102" s="2"/>
      <c r="AF102" s="2" t="s">
        <v>138</v>
      </c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 t="s">
        <v>138</v>
      </c>
      <c r="AU102" s="2"/>
      <c r="AV102" s="2" t="s">
        <v>138</v>
      </c>
      <c r="AW102" s="2"/>
      <c r="AX102" s="2"/>
      <c r="AY102" s="2"/>
      <c r="AZ102" s="2"/>
      <c r="BA102" s="2"/>
      <c r="BB102" s="2"/>
      <c r="BC102" s="2"/>
      <c r="BD102" s="2" t="s">
        <v>138</v>
      </c>
      <c r="BE102" s="2"/>
      <c r="BF102" s="2" t="s">
        <v>138</v>
      </c>
      <c r="BG102" s="39"/>
      <c r="BH102" s="39"/>
      <c r="BI102" s="2"/>
      <c r="BJ102" s="2" t="s">
        <v>138</v>
      </c>
      <c r="BK102" s="2"/>
      <c r="BL102" s="2"/>
      <c r="BM102" s="2"/>
      <c r="BN102" s="2" t="s">
        <v>138</v>
      </c>
      <c r="BO102" s="2"/>
      <c r="BP102" s="2" t="s">
        <v>138</v>
      </c>
      <c r="BQ102" s="2"/>
      <c r="BR102" s="2" t="s">
        <v>138</v>
      </c>
      <c r="BS102" s="2"/>
      <c r="BT102" s="2" t="s">
        <v>138</v>
      </c>
      <c r="BU102" s="2"/>
      <c r="BV102" s="2"/>
      <c r="BW102" s="39"/>
      <c r="BX102" s="39"/>
      <c r="BY102" s="40"/>
    </row>
    <row r="103" spans="59:77" ht="12.75">
      <c r="BG103" s="35"/>
      <c r="BH103" s="35"/>
      <c r="BY103" s="21"/>
    </row>
    <row r="104" spans="59:77" ht="12.75">
      <c r="BG104" s="21"/>
      <c r="BH104" s="21"/>
      <c r="BY104" s="21"/>
    </row>
    <row r="105" spans="3:77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</row>
    <row r="107" ht="12.75">
      <c r="BY107" s="21"/>
    </row>
    <row r="109" spans="49:50" ht="15" customHeight="1">
      <c r="AW109" s="36"/>
      <c r="AX109" s="36"/>
    </row>
  </sheetData>
  <sheetProtection/>
  <mergeCells count="48">
    <mergeCell ref="BG1:BI1"/>
    <mergeCell ref="BU3:BV3"/>
    <mergeCell ref="BC3:BD3"/>
    <mergeCell ref="AW1:AY1"/>
    <mergeCell ref="BA3:BB3"/>
    <mergeCell ref="AU3:AV3"/>
    <mergeCell ref="AS3:AT3"/>
    <mergeCell ref="BQ1:BS1"/>
    <mergeCell ref="BY3:BZ3"/>
    <mergeCell ref="BK3:BL3"/>
    <mergeCell ref="BW1:BY1"/>
    <mergeCell ref="BI3:BJ3"/>
    <mergeCell ref="BW3:BX3"/>
    <mergeCell ref="AA3:AB3"/>
    <mergeCell ref="AI3:AJ3"/>
    <mergeCell ref="AM3:AN3"/>
    <mergeCell ref="AO3:AP3"/>
    <mergeCell ref="AQ3:AR3"/>
    <mergeCell ref="AM1:AO1"/>
    <mergeCell ref="Q3:R3"/>
    <mergeCell ref="I3:J3"/>
    <mergeCell ref="K3:L3"/>
    <mergeCell ref="M3:N3"/>
    <mergeCell ref="AK3:AL3"/>
    <mergeCell ref="A3:A4"/>
    <mergeCell ref="B3:B4"/>
    <mergeCell ref="C3:D3"/>
    <mergeCell ref="E3:F3"/>
    <mergeCell ref="G3:H3"/>
    <mergeCell ref="O3:P3"/>
    <mergeCell ref="S3:T3"/>
    <mergeCell ref="U3:V3"/>
    <mergeCell ref="BQ3:BR3"/>
    <mergeCell ref="I1:K1"/>
    <mergeCell ref="S1:U1"/>
    <mergeCell ref="AC1:AE1"/>
    <mergeCell ref="W3:X3"/>
    <mergeCell ref="Y3:Z3"/>
    <mergeCell ref="AC3:AD3"/>
    <mergeCell ref="BS3:BT3"/>
    <mergeCell ref="BE3:BF3"/>
    <mergeCell ref="BG3:BH3"/>
    <mergeCell ref="AW3:AX3"/>
    <mergeCell ref="AY3:AZ3"/>
    <mergeCell ref="AE3:AF3"/>
    <mergeCell ref="AG3:AH3"/>
    <mergeCell ref="BO3:BP3"/>
    <mergeCell ref="BM3:BN3"/>
  </mergeCells>
  <printOptions/>
  <pageMargins left="0.8" right="0.75" top="0.08" bottom="0.1" header="0.09" footer="0.13"/>
  <pageSetup horizontalDpi="600" verticalDpi="600" orientation="landscape" scale="54" r:id="rId1"/>
  <rowBreaks count="1" manualBreakCount="1">
    <brk id="54" max="39" man="1"/>
  </rowBreaks>
  <colBreaks count="7" manualBreakCount="7">
    <brk id="12" max="65535" man="1"/>
    <brk id="22" max="65535" man="1"/>
    <brk id="32" max="65535" man="1"/>
    <brk id="42" max="65535" man="1"/>
    <brk id="52" max="65535" man="1"/>
    <brk id="62" max="65535" man="1"/>
    <brk id="72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pcuser</cp:lastModifiedBy>
  <dcterms:created xsi:type="dcterms:W3CDTF">2012-08-08T06:08:33Z</dcterms:created>
  <dcterms:modified xsi:type="dcterms:W3CDTF">2013-04-01T07:25:03Z</dcterms:modified>
  <cp:category/>
  <cp:version/>
  <cp:contentType/>
  <cp:contentStatus/>
</cp:coreProperties>
</file>