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9270"/>
  </bookViews>
  <sheets>
    <sheet name="2012-13 AO" sheetId="1" r:id="rId1"/>
  </sheets>
  <definedNames>
    <definedName name="_xlnm.Print_Area" localSheetId="0">'2012-13 AO'!$A$1:$AN$101</definedName>
    <definedName name="_xlnm.Print_Titles" localSheetId="0">'2012-13 AO'!$A:$B,'2012-13 AO'!$2:$4</definedName>
  </definedNames>
  <calcPr calcId="145621"/>
</workbook>
</file>

<file path=xl/calcChain.xml><?xml version="1.0" encoding="utf-8"?>
<calcChain xmlns="http://schemas.openxmlformats.org/spreadsheetml/2006/main">
  <c r="AJ98" i="1" l="1"/>
  <c r="AM98" i="1" s="1"/>
  <c r="Q98" i="1"/>
  <c r="O98" i="1"/>
  <c r="J98" i="1"/>
  <c r="G98" i="1"/>
  <c r="AE98" i="1" s="1"/>
  <c r="AI95" i="1"/>
  <c r="AG95" i="1"/>
  <c r="AM95" i="1" s="1"/>
  <c r="AF95" i="1"/>
  <c r="AB95" i="1"/>
  <c r="AA95" i="1"/>
  <c r="Z95" i="1"/>
  <c r="Y95" i="1"/>
  <c r="X95" i="1"/>
  <c r="W95" i="1"/>
  <c r="S95" i="1"/>
  <c r="R95" i="1"/>
  <c r="Q95" i="1"/>
  <c r="L95" i="1"/>
  <c r="K95" i="1"/>
  <c r="J95" i="1"/>
  <c r="G95" i="1"/>
  <c r="D95" i="1"/>
  <c r="AM94" i="1"/>
  <c r="AC94" i="1"/>
  <c r="AB94" i="1"/>
  <c r="AA94" i="1"/>
  <c r="M94" i="1"/>
  <c r="K94" i="1"/>
  <c r="AM93" i="1"/>
  <c r="AB93" i="1"/>
  <c r="AA93" i="1"/>
  <c r="Y93" i="1"/>
  <c r="W93" i="1"/>
  <c r="U93" i="1"/>
  <c r="S93" i="1"/>
  <c r="R93" i="1"/>
  <c r="L93" i="1"/>
  <c r="J93" i="1"/>
  <c r="AM92" i="1"/>
  <c r="AC92" i="1"/>
  <c r="R92" i="1"/>
  <c r="O92" i="1"/>
  <c r="F92" i="1"/>
  <c r="E92" i="1"/>
  <c r="AM91" i="1"/>
  <c r="AN91" i="1" s="1"/>
  <c r="AE91" i="1"/>
  <c r="AM90" i="1"/>
  <c r="W90" i="1"/>
  <c r="T90" i="1"/>
  <c r="R90" i="1"/>
  <c r="AM89" i="1"/>
  <c r="AB89" i="1"/>
  <c r="AA89" i="1"/>
  <c r="Y89" i="1"/>
  <c r="T89" i="1"/>
  <c r="S89" i="1"/>
  <c r="R89" i="1"/>
  <c r="J89" i="1"/>
  <c r="AM88" i="1"/>
  <c r="AF88" i="1"/>
  <c r="Y88" i="1"/>
  <c r="W88" i="1"/>
  <c r="AM87" i="1"/>
  <c r="AB87" i="1"/>
  <c r="AA87" i="1"/>
  <c r="T87" i="1"/>
  <c r="Q87" i="1"/>
  <c r="J87" i="1"/>
  <c r="AL86" i="1"/>
  <c r="AL96" i="1" s="1"/>
  <c r="AK86" i="1"/>
  <c r="AK96" i="1" s="1"/>
  <c r="AH86" i="1"/>
  <c r="AH96" i="1" s="1"/>
  <c r="AF86" i="1"/>
  <c r="AF96" i="1" s="1"/>
  <c r="Y86" i="1"/>
  <c r="Y96" i="1" s="1"/>
  <c r="W86" i="1"/>
  <c r="W96" i="1" s="1"/>
  <c r="V86" i="1"/>
  <c r="V96" i="1" s="1"/>
  <c r="U86" i="1"/>
  <c r="U96" i="1" s="1"/>
  <c r="S86" i="1"/>
  <c r="S96" i="1" s="1"/>
  <c r="P86" i="1"/>
  <c r="P96" i="1" s="1"/>
  <c r="O86" i="1"/>
  <c r="O96" i="1" s="1"/>
  <c r="N86" i="1"/>
  <c r="N96" i="1" s="1"/>
  <c r="I86" i="1"/>
  <c r="I96" i="1" s="1"/>
  <c r="F86" i="1"/>
  <c r="F96" i="1" s="1"/>
  <c r="E86" i="1"/>
  <c r="E96" i="1" s="1"/>
  <c r="D86" i="1"/>
  <c r="D96" i="1" s="1"/>
  <c r="C86" i="1"/>
  <c r="C96" i="1" s="1"/>
  <c r="AM85" i="1"/>
  <c r="J85" i="1"/>
  <c r="AE85" i="1" s="1"/>
  <c r="AJ84" i="1"/>
  <c r="AJ86" i="1" s="1"/>
  <c r="AJ96" i="1" s="1"/>
  <c r="AD84" i="1"/>
  <c r="AD86" i="1" s="1"/>
  <c r="AD96" i="1" s="1"/>
  <c r="AC84" i="1"/>
  <c r="H84" i="1"/>
  <c r="H86" i="1" s="1"/>
  <c r="H96" i="1" s="1"/>
  <c r="G84" i="1"/>
  <c r="G86" i="1" s="1"/>
  <c r="G96" i="1" s="1"/>
  <c r="AM83" i="1"/>
  <c r="T83" i="1"/>
  <c r="AE83" i="1" s="1"/>
  <c r="AI82" i="1"/>
  <c r="AI86" i="1" s="1"/>
  <c r="AI96" i="1" s="1"/>
  <c r="AG82" i="1"/>
  <c r="AG86" i="1" s="1"/>
  <c r="AG96" i="1" s="1"/>
  <c r="AC82" i="1"/>
  <c r="AC86" i="1" s="1"/>
  <c r="AC96" i="1" s="1"/>
  <c r="AB82" i="1"/>
  <c r="AB86" i="1" s="1"/>
  <c r="AB96" i="1" s="1"/>
  <c r="AA82" i="1"/>
  <c r="AA86" i="1" s="1"/>
  <c r="AA96" i="1" s="1"/>
  <c r="Z82" i="1"/>
  <c r="Z86" i="1" s="1"/>
  <c r="Z96" i="1" s="1"/>
  <c r="X82" i="1"/>
  <c r="X86" i="1" s="1"/>
  <c r="X96" i="1" s="1"/>
  <c r="T82" i="1"/>
  <c r="T86" i="1" s="1"/>
  <c r="T96" i="1" s="1"/>
  <c r="R82" i="1"/>
  <c r="R86" i="1" s="1"/>
  <c r="R96" i="1" s="1"/>
  <c r="Q82" i="1"/>
  <c r="Q86" i="1" s="1"/>
  <c r="Q96" i="1" s="1"/>
  <c r="M82" i="1"/>
  <c r="M86" i="1" s="1"/>
  <c r="M96" i="1" s="1"/>
  <c r="L82" i="1"/>
  <c r="L86" i="1" s="1"/>
  <c r="L96" i="1" s="1"/>
  <c r="K82" i="1"/>
  <c r="K86" i="1" s="1"/>
  <c r="K96" i="1" s="1"/>
  <c r="J82" i="1"/>
  <c r="J86" i="1" s="1"/>
  <c r="J96" i="1" s="1"/>
  <c r="AL78" i="1"/>
  <c r="AK78" i="1"/>
  <c r="AJ78" i="1"/>
  <c r="AG78" i="1"/>
  <c r="AF78" i="1"/>
  <c r="AC78" i="1"/>
  <c r="AB78" i="1"/>
  <c r="Z78" i="1"/>
  <c r="Y78" i="1"/>
  <c r="W78" i="1"/>
  <c r="V78" i="1"/>
  <c r="O78" i="1"/>
  <c r="M78" i="1"/>
  <c r="J78" i="1"/>
  <c r="I78" i="1"/>
  <c r="G78" i="1"/>
  <c r="F78" i="1"/>
  <c r="C78" i="1"/>
  <c r="AI77" i="1"/>
  <c r="AI78" i="1" s="1"/>
  <c r="AH77" i="1"/>
  <c r="AH78" i="1" s="1"/>
  <c r="AD77" i="1"/>
  <c r="AD78" i="1" s="1"/>
  <c r="AA77" i="1"/>
  <c r="AA78" i="1" s="1"/>
  <c r="X77" i="1"/>
  <c r="X78" i="1" s="1"/>
  <c r="U77" i="1"/>
  <c r="T77" i="1"/>
  <c r="T78" i="1" s="1"/>
  <c r="S77" i="1"/>
  <c r="S78" i="1" s="1"/>
  <c r="R77" i="1"/>
  <c r="Q77" i="1"/>
  <c r="Q78" i="1" s="1"/>
  <c r="P77" i="1"/>
  <c r="P78" i="1" s="1"/>
  <c r="N77" i="1"/>
  <c r="N78" i="1" s="1"/>
  <c r="L77" i="1"/>
  <c r="L78" i="1" s="1"/>
  <c r="K77" i="1"/>
  <c r="K78" i="1" s="1"/>
  <c r="H77" i="1"/>
  <c r="H78" i="1" s="1"/>
  <c r="E77" i="1"/>
  <c r="E78" i="1" s="1"/>
  <c r="D77" i="1"/>
  <c r="AM76" i="1"/>
  <c r="AE76" i="1"/>
  <c r="AM75" i="1"/>
  <c r="AE75" i="1"/>
  <c r="AM74" i="1"/>
  <c r="AE74" i="1"/>
  <c r="AN74" i="1" s="1"/>
  <c r="D74" i="1"/>
  <c r="D78" i="1" s="1"/>
  <c r="AM73" i="1"/>
  <c r="U73" i="1"/>
  <c r="U78" i="1" s="1"/>
  <c r="R73" i="1"/>
  <c r="R78" i="1" s="1"/>
  <c r="AL70" i="1"/>
  <c r="AK70" i="1"/>
  <c r="AJ70" i="1"/>
  <c r="AI70" i="1"/>
  <c r="AH70" i="1"/>
  <c r="AG70" i="1"/>
  <c r="AF70" i="1"/>
  <c r="AD70" i="1"/>
  <c r="AB70" i="1"/>
  <c r="AA70" i="1"/>
  <c r="Z70" i="1"/>
  <c r="Y70" i="1"/>
  <c r="X70" i="1"/>
  <c r="V70" i="1"/>
  <c r="U70" i="1"/>
  <c r="T70" i="1"/>
  <c r="R70" i="1"/>
  <c r="P70" i="1"/>
  <c r="O70" i="1"/>
  <c r="N70" i="1"/>
  <c r="M70" i="1"/>
  <c r="L70" i="1"/>
  <c r="K70" i="1"/>
  <c r="H70" i="1"/>
  <c r="G70" i="1"/>
  <c r="F70" i="1"/>
  <c r="D70" i="1"/>
  <c r="AM69" i="1"/>
  <c r="Q69" i="1"/>
  <c r="Q70" i="1" s="1"/>
  <c r="J69" i="1"/>
  <c r="J70" i="1" s="1"/>
  <c r="E69" i="1"/>
  <c r="AM68" i="1"/>
  <c r="AN68" i="1" s="1"/>
  <c r="AE68" i="1"/>
  <c r="AM67" i="1"/>
  <c r="W67" i="1"/>
  <c r="W70" i="1" s="1"/>
  <c r="I67" i="1"/>
  <c r="I70" i="1" s="1"/>
  <c r="C67" i="1"/>
  <c r="AM66" i="1"/>
  <c r="AM70" i="1" s="1"/>
  <c r="AC66" i="1"/>
  <c r="AC70" i="1" s="1"/>
  <c r="S66" i="1"/>
  <c r="S70" i="1" s="1"/>
  <c r="C66" i="1"/>
  <c r="AL63" i="1"/>
  <c r="AK63" i="1"/>
  <c r="AI63" i="1"/>
  <c r="AH63" i="1"/>
  <c r="AF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P63" i="1"/>
  <c r="O63" i="1"/>
  <c r="N63" i="1"/>
  <c r="M63" i="1"/>
  <c r="L63" i="1"/>
  <c r="K63" i="1"/>
  <c r="J63" i="1"/>
  <c r="H63" i="1"/>
  <c r="G63" i="1"/>
  <c r="F63" i="1"/>
  <c r="AM62" i="1"/>
  <c r="AG62" i="1"/>
  <c r="Q62" i="1"/>
  <c r="Q63" i="1" s="1"/>
  <c r="D62" i="1"/>
  <c r="AM61" i="1"/>
  <c r="AE61" i="1"/>
  <c r="AM60" i="1"/>
  <c r="AE60" i="1"/>
  <c r="AN60" i="1" s="1"/>
  <c r="AJ59" i="1"/>
  <c r="AJ63" i="1" s="1"/>
  <c r="AG59" i="1"/>
  <c r="AG63" i="1" s="1"/>
  <c r="D59" i="1"/>
  <c r="D63" i="1" s="1"/>
  <c r="C59" i="1"/>
  <c r="AE59" i="1" s="1"/>
  <c r="AM58" i="1"/>
  <c r="AE58" i="1"/>
  <c r="AN58" i="1" s="1"/>
  <c r="I58" i="1"/>
  <c r="I63" i="1" s="1"/>
  <c r="AM57" i="1"/>
  <c r="E57" i="1"/>
  <c r="E63" i="1" s="1"/>
  <c r="AL54" i="1"/>
  <c r="AK54" i="1"/>
  <c r="AJ54" i="1"/>
  <c r="AI54" i="1"/>
  <c r="AH54" i="1"/>
  <c r="AG54" i="1"/>
  <c r="AF54" i="1"/>
  <c r="AD54" i="1"/>
  <c r="AC54" i="1"/>
  <c r="AB54" i="1"/>
  <c r="AA54" i="1"/>
  <c r="Z54" i="1"/>
  <c r="Y54" i="1"/>
  <c r="X54" i="1"/>
  <c r="W54" i="1"/>
  <c r="U54" i="1"/>
  <c r="Q54" i="1"/>
  <c r="P54" i="1"/>
  <c r="O54" i="1"/>
  <c r="N54" i="1"/>
  <c r="L54" i="1"/>
  <c r="K54" i="1"/>
  <c r="J54" i="1"/>
  <c r="I54" i="1"/>
  <c r="G54" i="1"/>
  <c r="F54" i="1"/>
  <c r="C54" i="1"/>
  <c r="AM53" i="1"/>
  <c r="R53" i="1"/>
  <c r="R54" i="1" s="1"/>
  <c r="M53" i="1"/>
  <c r="M54" i="1" s="1"/>
  <c r="AM52" i="1"/>
  <c r="V52" i="1"/>
  <c r="V54" i="1" s="1"/>
  <c r="S52" i="1"/>
  <c r="S54" i="1" s="1"/>
  <c r="H52" i="1"/>
  <c r="H54" i="1" s="1"/>
  <c r="D52" i="1"/>
  <c r="AE52" i="1" s="1"/>
  <c r="AM51" i="1"/>
  <c r="T51" i="1"/>
  <c r="T54" i="1" s="1"/>
  <c r="E51" i="1"/>
  <c r="E54" i="1" s="1"/>
  <c r="AM48" i="1"/>
  <c r="R48" i="1"/>
  <c r="J48" i="1"/>
  <c r="C48" i="1"/>
  <c r="AL46" i="1"/>
  <c r="AK46" i="1"/>
  <c r="AJ46" i="1"/>
  <c r="AI46" i="1"/>
  <c r="AH46" i="1"/>
  <c r="AG46" i="1"/>
  <c r="AF46" i="1"/>
  <c r="AC46" i="1"/>
  <c r="AA46" i="1"/>
  <c r="Z46" i="1"/>
  <c r="Y46" i="1"/>
  <c r="X46" i="1"/>
  <c r="W46" i="1"/>
  <c r="V46" i="1"/>
  <c r="U46" i="1"/>
  <c r="T46" i="1"/>
  <c r="P46" i="1"/>
  <c r="O46" i="1"/>
  <c r="N46" i="1"/>
  <c r="L46" i="1"/>
  <c r="K46" i="1"/>
  <c r="J46" i="1"/>
  <c r="H46" i="1"/>
  <c r="D46" i="1"/>
  <c r="C46" i="1"/>
  <c r="AM45" i="1"/>
  <c r="AD45" i="1"/>
  <c r="AD46" i="1" s="1"/>
  <c r="AB45" i="1"/>
  <c r="AB46" i="1" s="1"/>
  <c r="R45" i="1"/>
  <c r="R46" i="1" s="1"/>
  <c r="M45" i="1"/>
  <c r="F45" i="1"/>
  <c r="F46" i="1" s="1"/>
  <c r="E45" i="1"/>
  <c r="AE45" i="1" s="1"/>
  <c r="AM44" i="1"/>
  <c r="S44" i="1"/>
  <c r="S46" i="1" s="1"/>
  <c r="Q44" i="1"/>
  <c r="AM43" i="1"/>
  <c r="AN43" i="1" s="1"/>
  <c r="Q43" i="1"/>
  <c r="AE43" i="1" s="1"/>
  <c r="AM42" i="1"/>
  <c r="M42" i="1"/>
  <c r="I42" i="1"/>
  <c r="I46" i="1" s="1"/>
  <c r="G42" i="1"/>
  <c r="AM39" i="1"/>
  <c r="AD39" i="1"/>
  <c r="S39" i="1"/>
  <c r="R39" i="1"/>
  <c r="AL36" i="1"/>
  <c r="AK36" i="1"/>
  <c r="AJ36" i="1"/>
  <c r="AI36" i="1"/>
  <c r="AH36" i="1"/>
  <c r="AG36" i="1"/>
  <c r="AF36" i="1"/>
  <c r="AD36" i="1"/>
  <c r="AC36" i="1"/>
  <c r="Z36" i="1"/>
  <c r="X36" i="1"/>
  <c r="W36" i="1"/>
  <c r="U36" i="1"/>
  <c r="S36" i="1"/>
  <c r="Q36" i="1"/>
  <c r="P36" i="1"/>
  <c r="O36" i="1"/>
  <c r="N36" i="1"/>
  <c r="L36" i="1"/>
  <c r="K36" i="1"/>
  <c r="I36" i="1"/>
  <c r="H36" i="1"/>
  <c r="G36" i="1"/>
  <c r="E36" i="1"/>
  <c r="D36" i="1"/>
  <c r="AM35" i="1"/>
  <c r="AB35" i="1"/>
  <c r="AB36" i="1" s="1"/>
  <c r="AA35" i="1"/>
  <c r="AA36" i="1" s="1"/>
  <c r="Y35" i="1"/>
  <c r="Y36" i="1" s="1"/>
  <c r="V35" i="1"/>
  <c r="T35" i="1"/>
  <c r="T36" i="1" s="1"/>
  <c r="S35" i="1"/>
  <c r="R35" i="1"/>
  <c r="R36" i="1" s="1"/>
  <c r="M35" i="1"/>
  <c r="C35" i="1"/>
  <c r="AE35" i="1" s="1"/>
  <c r="AM34" i="1"/>
  <c r="V34" i="1"/>
  <c r="V36" i="1" s="1"/>
  <c r="M34" i="1"/>
  <c r="M36" i="1" s="1"/>
  <c r="J34" i="1"/>
  <c r="J36" i="1" s="1"/>
  <c r="F34" i="1"/>
  <c r="F36" i="1" s="1"/>
  <c r="C34" i="1"/>
  <c r="AE34" i="1" s="1"/>
  <c r="AE36" i="1" s="1"/>
  <c r="AM32" i="1"/>
  <c r="AE32" i="1"/>
  <c r="AL31" i="1"/>
  <c r="AL37" i="1" s="1"/>
  <c r="AK31" i="1"/>
  <c r="AK37" i="1" s="1"/>
  <c r="AJ31" i="1"/>
  <c r="AJ37" i="1" s="1"/>
  <c r="AI31" i="1"/>
  <c r="AI37" i="1" s="1"/>
  <c r="AH31" i="1"/>
  <c r="AH37" i="1" s="1"/>
  <c r="AG31" i="1"/>
  <c r="AG37" i="1" s="1"/>
  <c r="AF31" i="1"/>
  <c r="AF37" i="1" s="1"/>
  <c r="AD31" i="1"/>
  <c r="AD37" i="1" s="1"/>
  <c r="AC31" i="1"/>
  <c r="AC37" i="1" s="1"/>
  <c r="AB31" i="1"/>
  <c r="Z31" i="1"/>
  <c r="Z37" i="1" s="1"/>
  <c r="Y31" i="1"/>
  <c r="W31" i="1"/>
  <c r="W37" i="1" s="1"/>
  <c r="V31" i="1"/>
  <c r="V37" i="1" s="1"/>
  <c r="U31" i="1"/>
  <c r="U37" i="1" s="1"/>
  <c r="T31" i="1"/>
  <c r="R31" i="1"/>
  <c r="Q31" i="1"/>
  <c r="P31" i="1"/>
  <c r="P37" i="1" s="1"/>
  <c r="O31" i="1"/>
  <c r="O37" i="1" s="1"/>
  <c r="N31" i="1"/>
  <c r="N37" i="1" s="1"/>
  <c r="L31" i="1"/>
  <c r="L37" i="1" s="1"/>
  <c r="J31" i="1"/>
  <c r="J37" i="1" s="1"/>
  <c r="H31" i="1"/>
  <c r="H37" i="1" s="1"/>
  <c r="F31" i="1"/>
  <c r="F37" i="1" s="1"/>
  <c r="E31" i="1"/>
  <c r="E37" i="1" s="1"/>
  <c r="D31" i="1"/>
  <c r="C31" i="1"/>
  <c r="AM30" i="1"/>
  <c r="AD30" i="1"/>
  <c r="AA30" i="1"/>
  <c r="AA31" i="1" s="1"/>
  <c r="X30" i="1"/>
  <c r="X31" i="1" s="1"/>
  <c r="S30" i="1"/>
  <c r="S31" i="1" s="1"/>
  <c r="S37" i="1" s="1"/>
  <c r="P30" i="1"/>
  <c r="M30" i="1"/>
  <c r="M31" i="1" s="1"/>
  <c r="K30" i="1"/>
  <c r="K31" i="1" s="1"/>
  <c r="G30" i="1"/>
  <c r="G31" i="1" s="1"/>
  <c r="G37" i="1" s="1"/>
  <c r="AM29" i="1"/>
  <c r="AE29" i="1"/>
  <c r="AM28" i="1"/>
  <c r="AE28" i="1"/>
  <c r="AN28" i="1" s="1"/>
  <c r="AM27" i="1"/>
  <c r="I27" i="1"/>
  <c r="I31" i="1" s="1"/>
  <c r="I37" i="1" s="1"/>
  <c r="AM25" i="1"/>
  <c r="AB25" i="1"/>
  <c r="AB37" i="1" s="1"/>
  <c r="Y25" i="1"/>
  <c r="Y37" i="1" s="1"/>
  <c r="X25" i="1"/>
  <c r="T25" i="1"/>
  <c r="T37" i="1" s="1"/>
  <c r="R25" i="1"/>
  <c r="R37" i="1" s="1"/>
  <c r="Q25" i="1"/>
  <c r="Q37" i="1" s="1"/>
  <c r="M25" i="1"/>
  <c r="K25" i="1"/>
  <c r="K37" i="1" s="1"/>
  <c r="D25" i="1"/>
  <c r="D37" i="1" s="1"/>
  <c r="AL22" i="1"/>
  <c r="AK22" i="1"/>
  <c r="AJ22" i="1"/>
  <c r="AI22" i="1"/>
  <c r="AH22" i="1"/>
  <c r="AG22" i="1"/>
  <c r="AF22" i="1"/>
  <c r="AD22" i="1"/>
  <c r="AB22" i="1"/>
  <c r="AA22" i="1"/>
  <c r="Z22" i="1"/>
  <c r="Y22" i="1"/>
  <c r="X22" i="1"/>
  <c r="W22" i="1"/>
  <c r="S22" i="1"/>
  <c r="Q22" i="1"/>
  <c r="P22" i="1"/>
  <c r="O22" i="1"/>
  <c r="N22" i="1"/>
  <c r="M22" i="1"/>
  <c r="L22" i="1"/>
  <c r="K22" i="1"/>
  <c r="J22" i="1"/>
  <c r="I22" i="1"/>
  <c r="H22" i="1"/>
  <c r="F22" i="1"/>
  <c r="D22" i="1"/>
  <c r="C22" i="1"/>
  <c r="AM21" i="1"/>
  <c r="U21" i="1"/>
  <c r="U22" i="1" s="1"/>
  <c r="U100" i="1" s="1"/>
  <c r="M21" i="1"/>
  <c r="AM20" i="1"/>
  <c r="AE20" i="1"/>
  <c r="AM18" i="1"/>
  <c r="AN18" i="1" s="1"/>
  <c r="AE18" i="1"/>
  <c r="AM17" i="1"/>
  <c r="AE17" i="1"/>
  <c r="AM16" i="1"/>
  <c r="AN16" i="1" s="1"/>
  <c r="AE16" i="1"/>
  <c r="AM15" i="1"/>
  <c r="G15" i="1"/>
  <c r="G22" i="1" s="1"/>
  <c r="AM14" i="1"/>
  <c r="AE14" i="1"/>
  <c r="AN14" i="1" s="1"/>
  <c r="AM13" i="1"/>
  <c r="E13" i="1"/>
  <c r="AE13" i="1" s="1"/>
  <c r="AM12" i="1"/>
  <c r="E12" i="1"/>
  <c r="AE12" i="1" s="1"/>
  <c r="AM11" i="1"/>
  <c r="E11" i="1"/>
  <c r="AE11" i="1" s="1"/>
  <c r="AM9" i="1"/>
  <c r="R9" i="1"/>
  <c r="AE9" i="1" s="1"/>
  <c r="AM8" i="1"/>
  <c r="AE8" i="1"/>
  <c r="AM7" i="1"/>
  <c r="AC7" i="1"/>
  <c r="AC22" i="1" s="1"/>
  <c r="AC100" i="1" s="1"/>
  <c r="V7" i="1"/>
  <c r="V22" i="1" s="1"/>
  <c r="V100" i="1" s="1"/>
  <c r="T7" i="1"/>
  <c r="T22" i="1" s="1"/>
  <c r="R7" i="1"/>
  <c r="R22" i="1" s="1"/>
  <c r="E7" i="1"/>
  <c r="E22" i="1" l="1"/>
  <c r="T100" i="1"/>
  <c r="AM22" i="1"/>
  <c r="AN8" i="1"/>
  <c r="AE15" i="1"/>
  <c r="AN15" i="1" s="1"/>
  <c r="AN17" i="1"/>
  <c r="AN20" i="1"/>
  <c r="AE21" i="1"/>
  <c r="AM31" i="1"/>
  <c r="AN29" i="1"/>
  <c r="AN32" i="1"/>
  <c r="AE39" i="1"/>
  <c r="AE42" i="1"/>
  <c r="M46" i="1"/>
  <c r="AE44" i="1"/>
  <c r="AN44" i="1" s="1"/>
  <c r="E46" i="1"/>
  <c r="AE48" i="1"/>
  <c r="AM54" i="1"/>
  <c r="D54" i="1"/>
  <c r="AE57" i="1"/>
  <c r="AN61" i="1"/>
  <c r="AE77" i="1"/>
  <c r="AN83" i="1"/>
  <c r="AM84" i="1"/>
  <c r="AN85" i="1"/>
  <c r="AE87" i="1"/>
  <c r="AE88" i="1"/>
  <c r="AE89" i="1"/>
  <c r="AE90" i="1"/>
  <c r="AE92" i="1"/>
  <c r="AE93" i="1"/>
  <c r="AE94" i="1"/>
  <c r="AE95" i="1"/>
  <c r="R100" i="1"/>
  <c r="AE7" i="1"/>
  <c r="M37" i="1"/>
  <c r="X37" i="1"/>
  <c r="AA37" i="1"/>
  <c r="AN42" i="1"/>
  <c r="AN48" i="1"/>
  <c r="AE62" i="1"/>
  <c r="C63" i="1"/>
  <c r="AE66" i="1"/>
  <c r="AE67" i="1"/>
  <c r="AN75" i="1"/>
  <c r="AN76" i="1"/>
  <c r="AN95" i="1"/>
  <c r="AN9" i="1"/>
  <c r="AN11" i="1"/>
  <c r="AN12" i="1"/>
  <c r="AN13" i="1"/>
  <c r="AN21" i="1"/>
  <c r="AN34" i="1"/>
  <c r="AN36" i="1" s="1"/>
  <c r="AN35" i="1"/>
  <c r="AE63" i="1"/>
  <c r="AN62" i="1"/>
  <c r="AN67" i="1"/>
  <c r="AE22" i="1"/>
  <c r="AN39" i="1"/>
  <c r="AN45" i="1"/>
  <c r="AN46" i="1" s="1"/>
  <c r="AN52" i="1"/>
  <c r="AN7" i="1"/>
  <c r="AN22" i="1" s="1"/>
  <c r="I100" i="1"/>
  <c r="K100" i="1"/>
  <c r="M100" i="1"/>
  <c r="O100" i="1"/>
  <c r="S100" i="1"/>
  <c r="W100" i="1"/>
  <c r="Y100" i="1"/>
  <c r="AA100" i="1"/>
  <c r="AG100" i="1"/>
  <c r="AI100" i="1"/>
  <c r="AK100" i="1"/>
  <c r="AE30" i="1"/>
  <c r="AN30" i="1" s="1"/>
  <c r="C36" i="1"/>
  <c r="C37" i="1" s="1"/>
  <c r="AM36" i="1"/>
  <c r="AM37" i="1" s="1"/>
  <c r="G46" i="1"/>
  <c r="G100" i="1" s="1"/>
  <c r="Q46" i="1"/>
  <c r="Q100" i="1" s="1"/>
  <c r="AM46" i="1"/>
  <c r="AE51" i="1"/>
  <c r="AE53" i="1"/>
  <c r="AN53" i="1" s="1"/>
  <c r="AN57" i="1"/>
  <c r="AM59" i="1"/>
  <c r="AN59" i="1" s="1"/>
  <c r="E70" i="1"/>
  <c r="E100" i="1" s="1"/>
  <c r="AE69" i="1"/>
  <c r="AE70" i="1" s="1"/>
  <c r="C70" i="1"/>
  <c r="D100" i="1"/>
  <c r="F100" i="1"/>
  <c r="H100" i="1"/>
  <c r="J100" i="1"/>
  <c r="L100" i="1"/>
  <c r="N100" i="1"/>
  <c r="P100" i="1"/>
  <c r="X100" i="1"/>
  <c r="Z100" i="1"/>
  <c r="AB100" i="1"/>
  <c r="AD100" i="1"/>
  <c r="AF100" i="1"/>
  <c r="AH100" i="1"/>
  <c r="AJ100" i="1"/>
  <c r="AL100" i="1"/>
  <c r="AE25" i="1"/>
  <c r="AE27" i="1"/>
  <c r="AE31" i="1" s="1"/>
  <c r="AN66" i="1"/>
  <c r="AN69" i="1"/>
  <c r="AN87" i="1"/>
  <c r="AN88" i="1"/>
  <c r="AN89" i="1"/>
  <c r="AN90" i="1"/>
  <c r="AN92" i="1"/>
  <c r="AN93" i="1"/>
  <c r="AN94" i="1"/>
  <c r="AN98" i="1"/>
  <c r="AM77" i="1"/>
  <c r="AN77" i="1" s="1"/>
  <c r="AE82" i="1"/>
  <c r="AE73" i="1"/>
  <c r="AM82" i="1"/>
  <c r="AE84" i="1"/>
  <c r="AN84" i="1" s="1"/>
  <c r="AN70" i="1" l="1"/>
  <c r="C100" i="1"/>
  <c r="AE46" i="1"/>
  <c r="AN73" i="1"/>
  <c r="AN78" i="1" s="1"/>
  <c r="AE78" i="1"/>
  <c r="AM86" i="1"/>
  <c r="AM96" i="1" s="1"/>
  <c r="AN82" i="1"/>
  <c r="AN86" i="1" s="1"/>
  <c r="AN96" i="1" s="1"/>
  <c r="AE86" i="1"/>
  <c r="AE96" i="1" s="1"/>
  <c r="AN27" i="1"/>
  <c r="AN31" i="1" s="1"/>
  <c r="AE37" i="1"/>
  <c r="AN63" i="1"/>
  <c r="AE54" i="1"/>
  <c r="AN51" i="1"/>
  <c r="AN54" i="1" s="1"/>
  <c r="AN25" i="1"/>
  <c r="AN37" i="1" s="1"/>
  <c r="AN100" i="1" s="1"/>
  <c r="AM78" i="1"/>
  <c r="AM63" i="1"/>
  <c r="AM100" i="1" s="1"/>
  <c r="AE100" i="1"/>
</calcChain>
</file>

<file path=xl/sharedStrings.xml><?xml version="1.0" encoding="utf-8"?>
<sst xmlns="http://schemas.openxmlformats.org/spreadsheetml/2006/main" count="192" uniqueCount="140">
  <si>
    <t>(Rs. In Lakhs)</t>
  </si>
  <si>
    <t xml:space="preserve">STATE WISE/SECTOR WISE </t>
  </si>
  <si>
    <t>APPROVED OUTLAY ANNUAL PLAN 2012-13</t>
  </si>
  <si>
    <t>Sl. No.</t>
  </si>
  <si>
    <t>Major Heads of Development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</si>
  <si>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</si>
  <si>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</si>
  <si>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</si>
  <si>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</si>
  <si>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</si>
  <si>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</si>
  <si>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</si>
  <si>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</si>
  <si>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</si>
  <si>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</si>
  <si>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</si>
  <si>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</si>
  <si>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</si>
  <si>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</si>
  <si>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</si>
  <si>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</si>
  <si>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</si>
  <si>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</si>
  <si>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</si>
  <si>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</si>
  <si>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</si>
  <si>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</si>
  <si>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</si>
  <si>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</si>
  <si>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</si>
  <si>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</si>
  <si>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</si>
  <si>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</si>
  <si>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 (STATES)</t>
  </si>
  <si>
    <t>ANDAMAN &amp; NICOBAR ISLANDS</t>
  </si>
  <si>
    <t>CHHANDIGARH</t>
  </si>
  <si>
    <t>DADRA &amp; NAGAR HAVELI</t>
  </si>
  <si>
    <t>DAMAN &amp; DIU</t>
  </si>
  <si>
    <t>DELHI</t>
  </si>
  <si>
    <t xml:space="preserve">LAKSHDWEEP </t>
  </si>
  <si>
    <t>PUDUCHERRY</t>
  </si>
  <si>
    <t>TOTAL Uts</t>
  </si>
  <si>
    <t>TOTAL (STATES &amp; Uts)</t>
  </si>
  <si>
    <t>APPROVED OUTLAY</t>
  </si>
  <si>
    <t>I</t>
  </si>
  <si>
    <t xml:space="preserve">  AGRICULTURE &amp; ALLIED ACTIVITIES</t>
  </si>
  <si>
    <t>1. Crop Husbandry</t>
  </si>
  <si>
    <t>2. Horticulture</t>
  </si>
  <si>
    <t xml:space="preserve">3. Soil and Water Conservation (including control of </t>
  </si>
  <si>
    <t>shifting cultivation)</t>
  </si>
  <si>
    <t>4. Animal Husbandry</t>
  </si>
  <si>
    <t>5. Dairy Development</t>
  </si>
  <si>
    <t>6. Fisheries</t>
  </si>
  <si>
    <t>7. Plantations</t>
  </si>
  <si>
    <t>8. Food,Storage &amp; Warehousing</t>
  </si>
  <si>
    <t>9. Agricultural Research &amp; Education</t>
  </si>
  <si>
    <t>10. Agricultural Financial Institutions</t>
  </si>
  <si>
    <t>11. Cooperation</t>
  </si>
  <si>
    <t>12. Other Agricultural Programmes :</t>
  </si>
  <si>
    <t xml:space="preserve">       (a) Agiculture marketing</t>
  </si>
  <si>
    <t xml:space="preserve">       (b) Others</t>
  </si>
  <si>
    <t xml:space="preserve">Total - (I) </t>
  </si>
  <si>
    <t>II</t>
  </si>
  <si>
    <t xml:space="preserve">   RURAL DEVELOPMENT</t>
  </si>
  <si>
    <t xml:space="preserve">1. Special Programme for Rural Development </t>
  </si>
  <si>
    <t>2. Rural Employment</t>
  </si>
  <si>
    <t xml:space="preserve"> </t>
  </si>
  <si>
    <t>(a) Swaranjyanti Gram Swarozgar Yojana (SGSY)</t>
  </si>
  <si>
    <t>(b) Sampoorna Gram  Rozgar Yojana (SGRY)</t>
  </si>
  <si>
    <t>(c)  National Food for Work Programme/NEGP</t>
  </si>
  <si>
    <t>(d) Others (To be specified)</t>
  </si>
  <si>
    <t>Sub-Total (Rural Employment)</t>
  </si>
  <si>
    <t>3. Land Reforms</t>
  </si>
  <si>
    <t>4. Other Rural Development Programmes</t>
  </si>
  <si>
    <t>(a) Community Development &amp; Panchayts</t>
  </si>
  <si>
    <t>(b) Other Programmes of Rural Development</t>
  </si>
  <si>
    <t>Sub-Total (Other Rural Development)</t>
  </si>
  <si>
    <t>TOTAL - II</t>
  </si>
  <si>
    <t>III</t>
  </si>
  <si>
    <t xml:space="preserve"> SPECIAL AREAS PROGRAMMES</t>
  </si>
  <si>
    <t>IV</t>
  </si>
  <si>
    <t xml:space="preserve"> IRRIGATION &amp; FLOOD CONTROL</t>
  </si>
  <si>
    <t>1. Major and Medium Irrigation</t>
  </si>
  <si>
    <t>2. Minor Irrigation</t>
  </si>
  <si>
    <t>3. Command Area Development</t>
  </si>
  <si>
    <t>4. Flood Control (includes flood protection works)</t>
  </si>
  <si>
    <t xml:space="preserve">TOTAL - IV </t>
  </si>
  <si>
    <t>V</t>
  </si>
  <si>
    <t xml:space="preserve">  ENERGY</t>
  </si>
  <si>
    <t>VI</t>
  </si>
  <si>
    <t xml:space="preserve"> INDUSTRY &amp; MINERALS</t>
  </si>
  <si>
    <t xml:space="preserve">1. Village &amp; Small Enterprises    </t>
  </si>
  <si>
    <t>2. Other Industries (Other than VSE)</t>
  </si>
  <si>
    <t>3. Minerals</t>
  </si>
  <si>
    <t xml:space="preserve">TOTAL - (VI) </t>
  </si>
  <si>
    <t>VII</t>
  </si>
  <si>
    <t xml:space="preserve">  TRANSPORT</t>
  </si>
  <si>
    <t>1. Minor Ports</t>
  </si>
  <si>
    <t>2. Civil Aviation</t>
  </si>
  <si>
    <t xml:space="preserve">3. Roads and Bridges  </t>
  </si>
  <si>
    <t>4. Road Transport</t>
  </si>
  <si>
    <t>5. Inland Water Transport</t>
  </si>
  <si>
    <t>6. Other Transport Services</t>
  </si>
  <si>
    <t>TOTAL - (VII)</t>
  </si>
  <si>
    <t>VIII</t>
  </si>
  <si>
    <t>SCIENCE,TECHNOLOGY &amp; ENVIRONMENT</t>
  </si>
  <si>
    <t xml:space="preserve">1. Scientific Research </t>
  </si>
  <si>
    <t>2. Information Technology &amp; E-Governance</t>
  </si>
  <si>
    <t>3. Ecology &amp; Environment</t>
  </si>
  <si>
    <t>4. Forestry &amp; Wildlife</t>
  </si>
  <si>
    <t xml:space="preserve">TOTAL - (VIII) </t>
  </si>
  <si>
    <t>IX</t>
  </si>
  <si>
    <t xml:space="preserve">  GENERAL ECONOMIC SERVICES</t>
  </si>
  <si>
    <t>1. Secretariat Economic Services</t>
  </si>
  <si>
    <t>2. Tourism</t>
  </si>
  <si>
    <t>3. Census, Surveys &amp; Statistics</t>
  </si>
  <si>
    <t>4. Civil Supplies</t>
  </si>
  <si>
    <t>5. Other General Economic Services</t>
  </si>
  <si>
    <t>TOTAL - (IX)</t>
  </si>
  <si>
    <t>X</t>
  </si>
  <si>
    <t xml:space="preserve">  SOCIAL SERVICES</t>
  </si>
  <si>
    <t xml:space="preserve">  Education</t>
  </si>
  <si>
    <t>1. General Education</t>
  </si>
  <si>
    <t>2. Technical Education</t>
  </si>
  <si>
    <t xml:space="preserve">3. Sports &amp; Youth Services </t>
  </si>
  <si>
    <t>4. Art &amp; Culture</t>
  </si>
  <si>
    <t xml:space="preserve">       SubTotal (Education)</t>
  </si>
  <si>
    <t>5. Medical &amp; Public Health</t>
  </si>
  <si>
    <t>6. Water Supply &amp; Sanitation</t>
  </si>
  <si>
    <t xml:space="preserve">7. Housing (incl. Police Housing)                       </t>
  </si>
  <si>
    <t>8. Urban Development (incl. State Capital Projects &amp; slum Area Development )</t>
  </si>
  <si>
    <t>9. Information &amp; Publicity</t>
  </si>
  <si>
    <t>10. Development of SCs, STs &amp; OBCs</t>
  </si>
  <si>
    <t>11. Labour &amp; Employment</t>
  </si>
  <si>
    <t>12. Social Security &amp; Social Welfare</t>
  </si>
  <si>
    <t>13. Empowerment of Women &amp; Development of Children</t>
  </si>
  <si>
    <t xml:space="preserve">TOTAL - (X) </t>
  </si>
  <si>
    <t>XI</t>
  </si>
  <si>
    <t>GENERAL SERVICES</t>
  </si>
  <si>
    <t xml:space="preserve">GRAND TOTAL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</si>
</sst>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0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Bookman Old Style"/>
      <family val="1"/>
    </font>
    <font>
      <b/>
      <sz val="16"/>
      <name val="Bookman Old Style"/>
      <family val="1"/>
    </font>
    <font>
      <b/>
      <sz val="18"/>
      <name val="Bookman Old Style"/>
      <family val="1"/>
    </font>
    <font>
      <b/>
      <sz val="12"/>
      <name val="Bookman Old Style"/>
      <family val="1"/>
    </font>
    <font>
      <b/>
      <sz val="15"/>
      <name val="Bookman Old Style"/>
      <family val="1"/>
    </font>
    <font>
      <sz val="10"/>
      <name val="Courier"/>
      <family val="3"/>
    </font>
    <font>
      <sz val="15"/>
      <name val="Bookman Old Style"/>
      <family val="1"/>
    </font>
    <font>
      <sz val="15"/>
      <name val="Times New Roman"/>
      <family val="1"/>
    </font>
    <font>
      <sz val="14"/>
      <name val="Bookman Old Style"/>
      <family val="1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7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3" fillId="0" borderId="0" xfId="1" applyFont="1" applyAlignment="1"/>
    <xf numFmtId="0" fontId="1" fillId="0" borderId="0" xfId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quotePrefix="1" applyFont="1" applyBorder="1" applyAlignment="1">
      <alignment horizontal="center"/>
    </xf>
    <xf numFmtId="164" fontId="6" fillId="0" borderId="4" xfId="1" quotePrefix="1" applyNumberFormat="1" applyFont="1" applyBorder="1" applyAlignment="1">
      <alignment horizontal="center"/>
    </xf>
    <xf numFmtId="165" fontId="6" fillId="0" borderId="4" xfId="2" applyFont="1" applyBorder="1" applyAlignment="1" applyProtection="1">
      <alignment horizontal="left" vertical="center"/>
    </xf>
    <xf numFmtId="0" fontId="8" fillId="0" borderId="4" xfId="1" applyFont="1" applyBorder="1"/>
    <xf numFmtId="2" fontId="8" fillId="0" borderId="4" xfId="1" applyNumberFormat="1" applyFont="1" applyBorder="1"/>
    <xf numFmtId="165" fontId="8" fillId="0" borderId="4" xfId="2" applyFont="1" applyBorder="1" applyAlignment="1" applyProtection="1">
      <alignment horizontal="left" vertical="center"/>
    </xf>
    <xf numFmtId="2" fontId="8" fillId="0" borderId="4" xfId="1" applyNumberFormat="1" applyFont="1" applyBorder="1" applyProtection="1"/>
    <xf numFmtId="2" fontId="8" fillId="2" borderId="4" xfId="1" applyNumberFormat="1" applyFont="1" applyFill="1" applyBorder="1"/>
    <xf numFmtId="2" fontId="1" fillId="0" borderId="0" xfId="1" applyNumberFormat="1"/>
    <xf numFmtId="2" fontId="6" fillId="0" borderId="4" xfId="1" applyNumberFormat="1" applyFont="1" applyBorder="1"/>
    <xf numFmtId="2" fontId="6" fillId="2" borderId="4" xfId="1" applyNumberFormat="1" applyFont="1" applyFill="1" applyBorder="1"/>
    <xf numFmtId="2" fontId="6" fillId="0" borderId="4" xfId="1" applyNumberFormat="1" applyFont="1" applyBorder="1" applyAlignment="1">
      <alignment horizontal="center"/>
    </xf>
    <xf numFmtId="2" fontId="9" fillId="2" borderId="4" xfId="1" applyNumberFormat="1" applyFont="1" applyFill="1" applyBorder="1"/>
    <xf numFmtId="165" fontId="8" fillId="2" borderId="4" xfId="1" applyNumberFormat="1" applyFont="1" applyFill="1" applyBorder="1"/>
    <xf numFmtId="165" fontId="8" fillId="0" borderId="4" xfId="2" applyFont="1" applyBorder="1" applyAlignment="1">
      <alignment vertical="center"/>
    </xf>
    <xf numFmtId="165" fontId="8" fillId="0" borderId="4" xfId="2" applyFont="1" applyBorder="1" applyAlignment="1" applyProtection="1">
      <alignment horizontal="left" vertical="center" wrapText="1"/>
    </xf>
    <xf numFmtId="2" fontId="8" fillId="0" borderId="4" xfId="1" applyNumberFormat="1" applyFont="1" applyBorder="1" applyAlignment="1">
      <alignment vertical="center"/>
    </xf>
    <xf numFmtId="165" fontId="8" fillId="0" borderId="4" xfId="2" quotePrefix="1" applyFont="1" applyBorder="1" applyAlignment="1" applyProtection="1">
      <alignment horizontal="left" vertical="center"/>
    </xf>
    <xf numFmtId="2" fontId="10" fillId="0" borderId="0" xfId="1" applyNumberFormat="1" applyFont="1"/>
    <xf numFmtId="0" fontId="1" fillId="0" borderId="0" xfId="1" applyAlignment="1">
      <alignment horizontal="center"/>
    </xf>
    <xf numFmtId="2" fontId="1" fillId="0" borderId="0" xfId="1" applyNumberFormat="1" applyAlignment="1">
      <alignment horizontal="center"/>
    </xf>
    <xf numFmtId="2" fontId="8" fillId="0" borderId="9" xfId="1" applyNumberFormat="1" applyFont="1" applyBorder="1"/>
    <xf numFmtId="2" fontId="1" fillId="0" borderId="0" xfId="1" applyNumberFormat="1" applyFont="1"/>
    <xf numFmtId="0" fontId="11" fillId="0" borderId="0" xfId="1" applyFont="1"/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2 3" xfId="4"/>
    <cellStyle name="Normal_Gen2004-0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3"/>
  <sheetViews>
    <sheetView tabSelected="1" zoomScale="70" zoomScaleNormal="70" zoomScaleSheetLayoutView="68" workbookViewId="0">
      <pane xSplit="2" ySplit="4" topLeftCell="AB5" activePane="bottomRight" state="frozen"/>
      <selection pane="topRight" activeCell="C1" sqref="C1"/>
      <selection pane="bottomLeft" activeCell="A5" sqref="A5"/>
      <selection pane="bottomRight" activeCell="AD19" sqref="AD18:AD19"/>
    </sheetView>
  </sheetViews>
  <sheetFormatPr defaultRowHeight="12.75" x14ac:dyDescent="0.2"/>
  <cols>
    <col min="1" max="1" width="6.42578125" style="3" customWidth="1"/>
    <col min="2" max="2" width="83.85546875" style="3" customWidth="1"/>
    <col min="3" max="3" width="21.7109375" style="3" customWidth="1"/>
    <col min="4" max="4" width="22" style="3" customWidth="1"/>
    <col min="5" max="5" width="21.42578125" style="3" customWidth="1"/>
    <col min="6" max="6" width="20" style="3" customWidth="1"/>
    <col min="7" max="7" width="22.140625" style="3" customWidth="1"/>
    <col min="8" max="8" width="25.140625" style="3" customWidth="1"/>
    <col min="9" max="9" width="22.85546875" style="3" customWidth="1"/>
    <col min="10" max="10" width="21.5703125" style="3" customWidth="1"/>
    <col min="11" max="11" width="22.42578125" style="3" customWidth="1"/>
    <col min="12" max="12" width="21.28515625" style="3" customWidth="1"/>
    <col min="13" max="13" width="20.7109375" style="3" customWidth="1"/>
    <col min="14" max="14" width="20.140625" style="3" customWidth="1"/>
    <col min="15" max="15" width="20.85546875" style="3" customWidth="1"/>
    <col min="16" max="16" width="23" style="3" customWidth="1"/>
    <col min="17" max="17" width="22.7109375" style="3" customWidth="1"/>
    <col min="18" max="18" width="21.42578125" style="3" customWidth="1"/>
    <col min="19" max="19" width="22.28515625" style="3" customWidth="1"/>
    <col min="20" max="20" width="22.85546875" style="3" customWidth="1"/>
    <col min="21" max="21" width="21.85546875" style="3" customWidth="1"/>
    <col min="22" max="22" width="23.85546875" style="3" customWidth="1"/>
    <col min="23" max="23" width="23" style="3" customWidth="1"/>
    <col min="24" max="25" width="22.85546875" style="3" customWidth="1"/>
    <col min="26" max="26" width="19.5703125" style="3" customWidth="1"/>
    <col min="27" max="27" width="20.85546875" style="3" customWidth="1"/>
    <col min="28" max="28" width="22.42578125" style="3" customWidth="1"/>
    <col min="29" max="29" width="23.85546875" style="3" customWidth="1"/>
    <col min="30" max="30" width="22.28515625" style="3" customWidth="1"/>
    <col min="31" max="31" width="24.5703125" style="3" customWidth="1"/>
    <col min="32" max="32" width="24" style="3" customWidth="1"/>
    <col min="33" max="33" width="21.85546875" style="3" customWidth="1"/>
    <col min="34" max="34" width="22.28515625" style="3" customWidth="1"/>
    <col min="35" max="35" width="23.7109375" style="3" customWidth="1"/>
    <col min="36" max="36" width="22.42578125" style="3" customWidth="1"/>
    <col min="37" max="37" width="24.140625" style="3" customWidth="1"/>
    <col min="38" max="38" width="24.5703125" style="3" customWidth="1"/>
    <col min="39" max="39" width="24.7109375" style="3" customWidth="1"/>
    <col min="40" max="40" width="24.85546875" style="3" customWidth="1"/>
    <col min="41" max="41" width="9.5703125" style="3" bestFit="1" customWidth="1"/>
    <col min="42" max="42" width="10.140625" style="3" bestFit="1" customWidth="1"/>
    <col min="43" max="16384" width="9.140625" style="3"/>
  </cols>
  <sheetData>
    <row r="1" spans="1:41" ht="20.25" x14ac:dyDescent="0.3">
      <c r="A1" s="1"/>
      <c r="B1" s="1"/>
      <c r="C1" s="1"/>
      <c r="D1" s="1"/>
      <c r="E1" s="1"/>
      <c r="F1" s="37" t="s">
        <v>0</v>
      </c>
      <c r="G1" s="37"/>
      <c r="H1" s="1"/>
      <c r="I1" s="1"/>
      <c r="J1" s="1"/>
      <c r="K1" s="37" t="s">
        <v>0</v>
      </c>
      <c r="L1" s="37"/>
      <c r="M1" s="1"/>
      <c r="N1" s="1"/>
      <c r="O1" s="1"/>
      <c r="P1" s="37" t="s">
        <v>0</v>
      </c>
      <c r="Q1" s="37"/>
      <c r="R1" s="1"/>
      <c r="S1" s="1"/>
      <c r="T1" s="1"/>
      <c r="U1" s="37" t="s">
        <v>0</v>
      </c>
      <c r="V1" s="37"/>
      <c r="W1" s="1"/>
      <c r="X1" s="1"/>
      <c r="Y1" s="1"/>
      <c r="Z1" s="37" t="s">
        <v>0</v>
      </c>
      <c r="AA1" s="37"/>
      <c r="AB1" s="2"/>
      <c r="AC1" s="1"/>
      <c r="AD1" s="1"/>
      <c r="AE1" s="37" t="s">
        <v>0</v>
      </c>
      <c r="AF1" s="37"/>
      <c r="AG1" s="2"/>
      <c r="AH1" s="1"/>
      <c r="AI1" s="1"/>
      <c r="AJ1" s="37" t="s">
        <v>0</v>
      </c>
      <c r="AK1" s="37"/>
      <c r="AL1" s="2"/>
      <c r="AM1" s="37" t="s">
        <v>0</v>
      </c>
      <c r="AN1" s="37"/>
    </row>
    <row r="2" spans="1:41" ht="24" thickBot="1" x14ac:dyDescent="0.25">
      <c r="A2" s="4"/>
      <c r="B2" s="5" t="s">
        <v>1</v>
      </c>
      <c r="C2" s="6" t="s">
        <v>2</v>
      </c>
      <c r="D2" s="4"/>
      <c r="E2" s="4"/>
      <c r="F2" s="4"/>
      <c r="H2" s="6" t="s">
        <v>2</v>
      </c>
      <c r="I2" s="4"/>
      <c r="J2" s="4"/>
      <c r="L2" s="4"/>
      <c r="M2" s="6" t="s">
        <v>2</v>
      </c>
      <c r="N2" s="4"/>
      <c r="O2" s="4"/>
      <c r="P2" s="4"/>
      <c r="R2" s="6" t="s">
        <v>2</v>
      </c>
      <c r="S2" s="4"/>
      <c r="T2" s="4"/>
      <c r="U2" s="4"/>
      <c r="V2" s="4"/>
      <c r="W2" s="6" t="s">
        <v>2</v>
      </c>
      <c r="X2" s="4"/>
      <c r="Y2" s="4"/>
      <c r="Z2" s="4"/>
      <c r="AA2" s="4"/>
      <c r="AB2" s="6" t="s">
        <v>2</v>
      </c>
      <c r="AC2" s="4"/>
      <c r="AD2" s="4"/>
      <c r="AE2" s="4"/>
      <c r="AF2" s="4"/>
      <c r="AG2" s="6" t="s">
        <v>2</v>
      </c>
      <c r="AH2" s="4"/>
      <c r="AI2" s="4"/>
      <c r="AJ2" s="4"/>
      <c r="AK2" s="4"/>
      <c r="AL2" s="6" t="s">
        <v>2</v>
      </c>
      <c r="AM2" s="4"/>
      <c r="AN2" s="4"/>
    </row>
    <row r="3" spans="1:41" ht="44.25" customHeight="1" x14ac:dyDescent="0.2">
      <c r="A3" s="38" t="s">
        <v>3</v>
      </c>
      <c r="B3" s="40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7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7" t="s">
        <v>30</v>
      </c>
      <c r="AC3" s="7" t="s">
        <v>31</v>
      </c>
      <c r="AD3" s="7" t="s">
        <v>32</v>
      </c>
      <c r="AE3" s="7" t="s">
        <v>33</v>
      </c>
      <c r="AF3" s="7" t="s">
        <v>34</v>
      </c>
      <c r="AG3" s="7" t="s">
        <v>35</v>
      </c>
      <c r="AH3" s="7" t="s">
        <v>36</v>
      </c>
      <c r="AI3" s="7" t="s">
        <v>37</v>
      </c>
      <c r="AJ3" s="7" t="s">
        <v>38</v>
      </c>
      <c r="AK3" s="7" t="s">
        <v>39</v>
      </c>
      <c r="AL3" s="8" t="s">
        <v>40</v>
      </c>
      <c r="AM3" s="7" t="s">
        <v>41</v>
      </c>
      <c r="AN3" s="9" t="s">
        <v>42</v>
      </c>
    </row>
    <row r="4" spans="1:41" ht="34.5" customHeight="1" thickBot="1" x14ac:dyDescent="0.25">
      <c r="A4" s="39"/>
      <c r="B4" s="41"/>
      <c r="C4" s="10" t="s">
        <v>43</v>
      </c>
      <c r="D4" s="10" t="s">
        <v>43</v>
      </c>
      <c r="E4" s="10" t="s">
        <v>43</v>
      </c>
      <c r="F4" s="10" t="s">
        <v>43</v>
      </c>
      <c r="G4" s="10" t="s">
        <v>43</v>
      </c>
      <c r="H4" s="10" t="s">
        <v>43</v>
      </c>
      <c r="I4" s="10" t="s">
        <v>43</v>
      </c>
      <c r="J4" s="10" t="s">
        <v>43</v>
      </c>
      <c r="K4" s="10" t="s">
        <v>43</v>
      </c>
      <c r="L4" s="10" t="s">
        <v>43</v>
      </c>
      <c r="M4" s="10" t="s">
        <v>43</v>
      </c>
      <c r="N4" s="10" t="s">
        <v>43</v>
      </c>
      <c r="O4" s="10" t="s">
        <v>43</v>
      </c>
      <c r="P4" s="10" t="s">
        <v>43</v>
      </c>
      <c r="Q4" s="10" t="s">
        <v>43</v>
      </c>
      <c r="R4" s="10" t="s">
        <v>43</v>
      </c>
      <c r="S4" s="10" t="s">
        <v>43</v>
      </c>
      <c r="T4" s="10" t="s">
        <v>43</v>
      </c>
      <c r="U4" s="10" t="s">
        <v>43</v>
      </c>
      <c r="V4" s="10" t="s">
        <v>43</v>
      </c>
      <c r="W4" s="10" t="s">
        <v>43</v>
      </c>
      <c r="X4" s="10" t="s">
        <v>43</v>
      </c>
      <c r="Y4" s="10" t="s">
        <v>43</v>
      </c>
      <c r="Z4" s="10" t="s">
        <v>43</v>
      </c>
      <c r="AA4" s="10" t="s">
        <v>43</v>
      </c>
      <c r="AB4" s="10" t="s">
        <v>43</v>
      </c>
      <c r="AC4" s="10" t="s">
        <v>43</v>
      </c>
      <c r="AD4" s="10" t="s">
        <v>43</v>
      </c>
      <c r="AE4" s="10" t="s">
        <v>43</v>
      </c>
      <c r="AF4" s="10" t="s">
        <v>43</v>
      </c>
      <c r="AG4" s="10" t="s">
        <v>43</v>
      </c>
      <c r="AH4" s="10" t="s">
        <v>43</v>
      </c>
      <c r="AI4" s="10" t="s">
        <v>43</v>
      </c>
      <c r="AJ4" s="10" t="s">
        <v>43</v>
      </c>
      <c r="AK4" s="10" t="s">
        <v>43</v>
      </c>
      <c r="AL4" s="11" t="s">
        <v>43</v>
      </c>
      <c r="AM4" s="10" t="s">
        <v>43</v>
      </c>
      <c r="AN4" s="12" t="s">
        <v>43</v>
      </c>
    </row>
    <row r="5" spans="1:41" ht="19.5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1" ht="19.5" x14ac:dyDescent="0.3">
      <c r="A6" s="15" t="s">
        <v>44</v>
      </c>
      <c r="B6" s="15" t="s">
        <v>45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9.5" x14ac:dyDescent="0.3">
      <c r="A7" s="18"/>
      <c r="B7" s="18" t="s">
        <v>46</v>
      </c>
      <c r="C7" s="17">
        <v>236717.49</v>
      </c>
      <c r="D7" s="19">
        <v>4964</v>
      </c>
      <c r="E7" s="19">
        <f>48813.6+9199.3</f>
        <v>58012.899999999994</v>
      </c>
      <c r="F7" s="19">
        <v>113346.9</v>
      </c>
      <c r="G7" s="17">
        <v>93505</v>
      </c>
      <c r="H7" s="17">
        <v>5791.4</v>
      </c>
      <c r="I7" s="17">
        <v>128700</v>
      </c>
      <c r="J7" s="17">
        <v>35000</v>
      </c>
      <c r="K7" s="17">
        <v>12438</v>
      </c>
      <c r="L7" s="17">
        <v>3360.36</v>
      </c>
      <c r="M7" s="17">
        <v>8160</v>
      </c>
      <c r="N7" s="17">
        <v>157434</v>
      </c>
      <c r="O7" s="17">
        <v>27299</v>
      </c>
      <c r="P7" s="17">
        <v>104833.13</v>
      </c>
      <c r="Q7" s="20">
        <v>126344</v>
      </c>
      <c r="R7" s="20">
        <f>759+200+7245</f>
        <v>8204</v>
      </c>
      <c r="S7" s="17">
        <v>2800</v>
      </c>
      <c r="T7" s="17">
        <f>17437.76+400</f>
        <v>17837.759999999998</v>
      </c>
      <c r="U7" s="17">
        <v>10755</v>
      </c>
      <c r="V7" s="17">
        <f>50977+47026</f>
        <v>98003</v>
      </c>
      <c r="W7" s="17">
        <v>21062</v>
      </c>
      <c r="X7" s="17">
        <v>91800.13</v>
      </c>
      <c r="Y7" s="17">
        <v>2730.65</v>
      </c>
      <c r="Z7" s="17">
        <v>117361.46</v>
      </c>
      <c r="AA7" s="17">
        <v>7569.83</v>
      </c>
      <c r="AB7" s="17">
        <v>134346</v>
      </c>
      <c r="AC7" s="17">
        <f>11985.6+1276.15</f>
        <v>13261.75</v>
      </c>
      <c r="AD7" s="17">
        <v>32603.040000000001</v>
      </c>
      <c r="AE7" s="17">
        <f>+C7+D7+E7+F7+G7+H7+I7+J7+K7+L7+M7+N7+O7+P7+Q7+R7+S7+T7+U7+V7+W7+X7+Y7+Z7+AA7+AB7+AC7+AD7</f>
        <v>1674240.8000000003</v>
      </c>
      <c r="AF7" s="17">
        <v>1820</v>
      </c>
      <c r="AG7" s="17">
        <v>7</v>
      </c>
      <c r="AH7" s="17">
        <v>473</v>
      </c>
      <c r="AI7" s="17">
        <v>508</v>
      </c>
      <c r="AJ7" s="17">
        <v>0</v>
      </c>
      <c r="AK7" s="17">
        <v>900</v>
      </c>
      <c r="AL7" s="17">
        <v>4959.13</v>
      </c>
      <c r="AM7" s="17">
        <f>SUM(AF7:AL7)</f>
        <v>8667.130000000001</v>
      </c>
      <c r="AN7" s="17">
        <f>+AM7+AE7</f>
        <v>1682907.9300000002</v>
      </c>
    </row>
    <row r="8" spans="1:41" ht="19.5" x14ac:dyDescent="0.3">
      <c r="A8" s="18"/>
      <c r="B8" s="18" t="s">
        <v>47</v>
      </c>
      <c r="C8" s="17">
        <v>0</v>
      </c>
      <c r="D8" s="19">
        <v>1168</v>
      </c>
      <c r="E8" s="19">
        <v>320</v>
      </c>
      <c r="F8" s="19">
        <v>5500</v>
      </c>
      <c r="G8" s="17">
        <v>14952</v>
      </c>
      <c r="H8" s="17">
        <v>1223.99</v>
      </c>
      <c r="I8" s="17">
        <v>15500</v>
      </c>
      <c r="J8" s="17">
        <v>5400</v>
      </c>
      <c r="K8" s="17">
        <v>2017</v>
      </c>
      <c r="L8" s="17">
        <v>332.04</v>
      </c>
      <c r="M8" s="17">
        <v>2130</v>
      </c>
      <c r="N8" s="17">
        <v>56157</v>
      </c>
      <c r="O8" s="17">
        <v>0</v>
      </c>
      <c r="P8" s="17">
        <v>20519.02</v>
      </c>
      <c r="Q8" s="20">
        <v>12151</v>
      </c>
      <c r="R8" s="20">
        <v>0</v>
      </c>
      <c r="S8" s="17">
        <v>3800</v>
      </c>
      <c r="T8" s="17">
        <v>10234</v>
      </c>
      <c r="U8" s="17">
        <v>1200</v>
      </c>
      <c r="V8" s="17">
        <v>5000</v>
      </c>
      <c r="W8" s="17">
        <v>0</v>
      </c>
      <c r="X8" s="17">
        <v>11877.49</v>
      </c>
      <c r="Y8" s="17">
        <v>2151.4899999999998</v>
      </c>
      <c r="Z8" s="17">
        <v>0</v>
      </c>
      <c r="AA8" s="17">
        <v>1618.5</v>
      </c>
      <c r="AB8" s="17">
        <v>2915</v>
      </c>
      <c r="AC8" s="17">
        <v>7405.23</v>
      </c>
      <c r="AD8" s="17">
        <v>5810</v>
      </c>
      <c r="AE8" s="17">
        <f>+C8+D8+E8+F8+G8+H8+I8+J8+K8+L8+M8+N8+O8+P8+Q8+R8+S8+T8+U8+V8+W8+X8+Y8+Z8+AA8+AB8+AC8+AD8</f>
        <v>189381.75999999998</v>
      </c>
      <c r="AF8" s="17">
        <v>0</v>
      </c>
      <c r="AG8" s="17">
        <v>0</v>
      </c>
      <c r="AH8" s="17">
        <v>0</v>
      </c>
      <c r="AI8" s="17">
        <v>2</v>
      </c>
      <c r="AJ8" s="17">
        <v>0</v>
      </c>
      <c r="AK8" s="17">
        <v>0</v>
      </c>
      <c r="AL8" s="17">
        <v>754</v>
      </c>
      <c r="AM8" s="17">
        <f t="shared" ref="AM8:AM20" si="0">SUM(AF8:AL8)</f>
        <v>756</v>
      </c>
      <c r="AN8" s="17">
        <f>+AM8+AE8</f>
        <v>190137.75999999998</v>
      </c>
    </row>
    <row r="9" spans="1:41" ht="19.5" x14ac:dyDescent="0.3">
      <c r="A9" s="18"/>
      <c r="B9" s="18" t="s">
        <v>48</v>
      </c>
      <c r="C9" s="17">
        <v>0</v>
      </c>
      <c r="D9" s="17">
        <v>900</v>
      </c>
      <c r="E9" s="17">
        <v>1785.8</v>
      </c>
      <c r="F9" s="17">
        <v>500</v>
      </c>
      <c r="G9" s="17">
        <v>0</v>
      </c>
      <c r="H9" s="17">
        <v>2269.11</v>
      </c>
      <c r="I9" s="17">
        <v>35900</v>
      </c>
      <c r="J9" s="17">
        <v>1634</v>
      </c>
      <c r="K9" s="17">
        <v>5541</v>
      </c>
      <c r="L9" s="17">
        <v>334.75</v>
      </c>
      <c r="M9" s="17">
        <v>3600</v>
      </c>
      <c r="N9" s="17">
        <v>19908</v>
      </c>
      <c r="O9" s="17">
        <v>6700</v>
      </c>
      <c r="P9" s="17">
        <v>1170</v>
      </c>
      <c r="Q9" s="20">
        <v>62619</v>
      </c>
      <c r="R9" s="20">
        <f>199.36+125</f>
        <v>324.36</v>
      </c>
      <c r="S9" s="17">
        <v>15380</v>
      </c>
      <c r="T9" s="17">
        <v>4775.22</v>
      </c>
      <c r="U9" s="17">
        <v>1005</v>
      </c>
      <c r="V9" s="17">
        <v>5213.05</v>
      </c>
      <c r="W9" s="17">
        <v>8395</v>
      </c>
      <c r="X9" s="17">
        <v>4025.06</v>
      </c>
      <c r="Y9" s="17">
        <v>13.45</v>
      </c>
      <c r="Z9" s="17">
        <v>19713.95</v>
      </c>
      <c r="AA9" s="17">
        <v>52</v>
      </c>
      <c r="AB9" s="17">
        <v>45052</v>
      </c>
      <c r="AC9" s="17">
        <v>6300</v>
      </c>
      <c r="AD9" s="17">
        <v>4220.2</v>
      </c>
      <c r="AE9" s="17">
        <f>+C9+D9+E9+F9+G9+H9+I9+J9+K9+L9+M9+N9+O9+P9+Q9+R9+S9+T9+U9+V9+W9+X9+Y9+Z9+AA9+AB9+AC9+AD9</f>
        <v>257330.95</v>
      </c>
      <c r="AF9" s="17">
        <v>330</v>
      </c>
      <c r="AG9" s="17">
        <v>0</v>
      </c>
      <c r="AH9" s="17">
        <v>244</v>
      </c>
      <c r="AI9" s="17">
        <v>602</v>
      </c>
      <c r="AJ9" s="17">
        <v>0</v>
      </c>
      <c r="AK9" s="17">
        <v>0</v>
      </c>
      <c r="AL9" s="17">
        <v>0</v>
      </c>
      <c r="AM9" s="17">
        <f t="shared" ref="AM9" si="1">SUM(AF9:AL9)</f>
        <v>1176</v>
      </c>
      <c r="AN9" s="17">
        <f>+AM9+AE9</f>
        <v>258506.95</v>
      </c>
      <c r="AO9" s="21"/>
    </row>
    <row r="10" spans="1:41" ht="23.25" customHeight="1" x14ac:dyDescent="0.3">
      <c r="A10" s="18"/>
      <c r="B10" s="18" t="s">
        <v>49</v>
      </c>
      <c r="C10" s="17"/>
      <c r="D10" s="19"/>
      <c r="E10" s="19"/>
      <c r="F10" s="19"/>
      <c r="G10" s="17"/>
      <c r="H10" s="17"/>
      <c r="I10" s="17"/>
      <c r="J10" s="17"/>
      <c r="K10" s="17"/>
      <c r="M10" s="17"/>
      <c r="N10" s="17"/>
      <c r="O10" s="17"/>
      <c r="P10" s="17"/>
      <c r="Q10" s="20"/>
      <c r="R10" s="20"/>
      <c r="S10" s="17"/>
      <c r="T10" s="17"/>
      <c r="U10" s="17"/>
      <c r="V10" s="17"/>
      <c r="W10" s="17"/>
      <c r="X10" s="17"/>
      <c r="Y10" s="17"/>
      <c r="Z10" s="17"/>
      <c r="AA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1" ht="20.25" customHeight="1" x14ac:dyDescent="0.3">
      <c r="A11" s="18"/>
      <c r="B11" s="18" t="s">
        <v>50</v>
      </c>
      <c r="C11" s="17">
        <v>16437.02</v>
      </c>
      <c r="D11" s="19">
        <v>1585</v>
      </c>
      <c r="E11" s="19">
        <f>5129+354.4</f>
        <v>5483.4</v>
      </c>
      <c r="F11" s="19">
        <v>12756.69</v>
      </c>
      <c r="G11" s="17">
        <v>10324</v>
      </c>
      <c r="H11" s="17">
        <v>2795.47</v>
      </c>
      <c r="I11" s="17">
        <v>27075</v>
      </c>
      <c r="J11" s="17">
        <v>10100</v>
      </c>
      <c r="K11" s="17">
        <v>3594</v>
      </c>
      <c r="L11" s="17">
        <v>2039.16</v>
      </c>
      <c r="M11" s="17">
        <v>3400</v>
      </c>
      <c r="N11" s="17">
        <v>35204</v>
      </c>
      <c r="O11" s="17">
        <v>21117</v>
      </c>
      <c r="P11" s="17">
        <v>22851.35</v>
      </c>
      <c r="Q11" s="20">
        <v>31054</v>
      </c>
      <c r="R11" s="20">
        <v>552</v>
      </c>
      <c r="S11" s="17">
        <v>3400</v>
      </c>
      <c r="T11" s="17">
        <v>9016.2800000000007</v>
      </c>
      <c r="U11" s="17">
        <v>3490</v>
      </c>
      <c r="V11" s="17">
        <v>6235</v>
      </c>
      <c r="W11" s="17">
        <v>9206</v>
      </c>
      <c r="X11" s="17">
        <v>7308.79</v>
      </c>
      <c r="Y11" s="17">
        <v>872.41</v>
      </c>
      <c r="Z11" s="17">
        <v>28608.78</v>
      </c>
      <c r="AA11" s="17">
        <v>1610.75</v>
      </c>
      <c r="AB11" s="17">
        <v>6554</v>
      </c>
      <c r="AC11" s="17">
        <v>3531.18</v>
      </c>
      <c r="AD11" s="17">
        <v>17399.97</v>
      </c>
      <c r="AE11" s="17">
        <f>+C11+D11+E11+F11+G11+H11+I11+J11+K11+L11+M11+N11+O11+P11+Q11+R11+S11+T11+U11+V11+W11+X11+Y11+Z11+AA11+AB11+AC11+AD11</f>
        <v>303601.25</v>
      </c>
      <c r="AF11" s="17">
        <v>1578</v>
      </c>
      <c r="AG11" s="17">
        <v>33</v>
      </c>
      <c r="AH11" s="17">
        <v>249</v>
      </c>
      <c r="AI11" s="17">
        <v>82</v>
      </c>
      <c r="AJ11" s="17">
        <v>0</v>
      </c>
      <c r="AK11" s="17">
        <v>900</v>
      </c>
      <c r="AL11" s="17">
        <v>2050.67</v>
      </c>
      <c r="AM11" s="17">
        <f t="shared" si="0"/>
        <v>4892.67</v>
      </c>
      <c r="AN11" s="17">
        <f t="shared" ref="AN11:AN21" si="2">+AM11+AE11</f>
        <v>308493.92</v>
      </c>
    </row>
    <row r="12" spans="1:41" ht="19.5" x14ac:dyDescent="0.3">
      <c r="A12" s="18"/>
      <c r="B12" s="18" t="s">
        <v>51</v>
      </c>
      <c r="C12" s="17">
        <v>0</v>
      </c>
      <c r="D12" s="19">
        <v>165</v>
      </c>
      <c r="E12" s="19">
        <f>1310.45+66.2</f>
        <v>1376.65</v>
      </c>
      <c r="F12" s="19">
        <v>5500</v>
      </c>
      <c r="G12" s="17">
        <v>0</v>
      </c>
      <c r="H12" s="17">
        <v>3384.43</v>
      </c>
      <c r="I12" s="17">
        <v>7300</v>
      </c>
      <c r="J12" s="17">
        <v>0</v>
      </c>
      <c r="K12" s="17">
        <v>50</v>
      </c>
      <c r="L12" s="17">
        <v>0</v>
      </c>
      <c r="M12" s="17">
        <v>4463</v>
      </c>
      <c r="N12" s="17">
        <v>29578</v>
      </c>
      <c r="O12" s="17">
        <v>3500</v>
      </c>
      <c r="P12" s="17">
        <v>0</v>
      </c>
      <c r="Q12" s="20">
        <v>697</v>
      </c>
      <c r="R12" s="20">
        <v>25</v>
      </c>
      <c r="S12" s="17">
        <v>450</v>
      </c>
      <c r="T12" s="17">
        <v>40</v>
      </c>
      <c r="U12" s="17">
        <v>0</v>
      </c>
      <c r="V12" s="17">
        <v>500</v>
      </c>
      <c r="W12" s="17">
        <v>2521</v>
      </c>
      <c r="X12" s="17">
        <v>0.01</v>
      </c>
      <c r="Y12" s="17">
        <v>69.040000000000006</v>
      </c>
      <c r="Z12" s="17">
        <v>6238.49</v>
      </c>
      <c r="AA12" s="17">
        <v>18.25</v>
      </c>
      <c r="AB12" s="17">
        <v>5257</v>
      </c>
      <c r="AC12" s="17">
        <v>1528.66</v>
      </c>
      <c r="AD12" s="17">
        <v>1120.03</v>
      </c>
      <c r="AE12" s="17">
        <f t="shared" ref="AE12:AE18" si="3">+C12+D12+E12+F12+G12+H12+I12+J12+K12+L12+M12+N12+O12+P12+Q12+R12+S12+T12+U12+V12+W12+X12+Y12+Z12+AA12+AB12+AC12+AD12</f>
        <v>73781.560000000012</v>
      </c>
      <c r="AF12" s="17">
        <v>0</v>
      </c>
      <c r="AG12" s="17">
        <v>0</v>
      </c>
      <c r="AH12" s="17">
        <v>80</v>
      </c>
      <c r="AI12" s="17">
        <v>20</v>
      </c>
      <c r="AJ12" s="17">
        <v>0</v>
      </c>
      <c r="AK12" s="17">
        <v>0</v>
      </c>
      <c r="AL12" s="17">
        <v>525</v>
      </c>
      <c r="AM12" s="17">
        <f t="shared" si="0"/>
        <v>625</v>
      </c>
      <c r="AN12" s="17">
        <f t="shared" si="2"/>
        <v>74406.560000000012</v>
      </c>
    </row>
    <row r="13" spans="1:41" ht="19.5" x14ac:dyDescent="0.3">
      <c r="A13" s="18"/>
      <c r="B13" s="18" t="s">
        <v>52</v>
      </c>
      <c r="C13" s="17">
        <v>11140.5</v>
      </c>
      <c r="D13" s="19">
        <v>556.6</v>
      </c>
      <c r="E13" s="19">
        <f>3135.2+1412.8</f>
        <v>4548</v>
      </c>
      <c r="F13" s="19">
        <v>5678</v>
      </c>
      <c r="G13" s="17">
        <v>3546</v>
      </c>
      <c r="H13" s="17">
        <v>2726</v>
      </c>
      <c r="I13" s="17">
        <v>7700</v>
      </c>
      <c r="J13" s="17">
        <v>720</v>
      </c>
      <c r="K13" s="17">
        <v>444</v>
      </c>
      <c r="L13" s="17">
        <v>878.67</v>
      </c>
      <c r="M13" s="17">
        <v>2300</v>
      </c>
      <c r="N13" s="17">
        <v>17081</v>
      </c>
      <c r="O13" s="17">
        <v>14200</v>
      </c>
      <c r="P13" s="17">
        <v>3113.29</v>
      </c>
      <c r="Q13" s="20">
        <v>12060</v>
      </c>
      <c r="R13" s="20">
        <v>1006</v>
      </c>
      <c r="S13" s="17">
        <v>6275</v>
      </c>
      <c r="T13" s="17">
        <v>1810</v>
      </c>
      <c r="U13" s="17">
        <v>1000</v>
      </c>
      <c r="V13" s="17">
        <v>3292.41</v>
      </c>
      <c r="W13" s="17">
        <v>1054.55</v>
      </c>
      <c r="X13" s="17">
        <v>95.2</v>
      </c>
      <c r="Y13" s="17">
        <v>167.65</v>
      </c>
      <c r="Z13" s="17">
        <v>28366.32</v>
      </c>
      <c r="AA13" s="17">
        <v>913</v>
      </c>
      <c r="AB13" s="17">
        <v>1200</v>
      </c>
      <c r="AC13" s="17">
        <v>510.96</v>
      </c>
      <c r="AD13" s="17">
        <v>15466.9</v>
      </c>
      <c r="AE13" s="17">
        <f t="shared" si="3"/>
        <v>147850.04999999996</v>
      </c>
      <c r="AF13" s="17">
        <v>1010</v>
      </c>
      <c r="AG13" s="17">
        <v>9</v>
      </c>
      <c r="AH13" s="17">
        <v>0</v>
      </c>
      <c r="AI13" s="17">
        <v>400</v>
      </c>
      <c r="AJ13" s="17">
        <v>0</v>
      </c>
      <c r="AK13" s="17">
        <v>1050</v>
      </c>
      <c r="AL13" s="17">
        <v>6418.19</v>
      </c>
      <c r="AM13" s="17">
        <f t="shared" si="0"/>
        <v>8887.1899999999987</v>
      </c>
      <c r="AN13" s="17">
        <f t="shared" si="2"/>
        <v>156737.23999999996</v>
      </c>
    </row>
    <row r="14" spans="1:41" ht="19.5" x14ac:dyDescent="0.3">
      <c r="A14" s="18"/>
      <c r="B14" s="18" t="s">
        <v>53</v>
      </c>
      <c r="C14" s="17">
        <v>0</v>
      </c>
      <c r="D14" s="19">
        <v>0</v>
      </c>
      <c r="E14" s="19">
        <v>0</v>
      </c>
      <c r="F14" s="19">
        <v>0</v>
      </c>
      <c r="G14" s="17">
        <v>0</v>
      </c>
      <c r="H14" s="17">
        <v>0</v>
      </c>
      <c r="I14" s="17">
        <v>46577.7</v>
      </c>
      <c r="J14" s="17">
        <v>0</v>
      </c>
      <c r="K14" s="17">
        <v>0</v>
      </c>
      <c r="L14" s="17">
        <v>435.27</v>
      </c>
      <c r="M14" s="17">
        <v>0</v>
      </c>
      <c r="N14" s="17">
        <v>150</v>
      </c>
      <c r="O14" s="17">
        <v>0</v>
      </c>
      <c r="P14" s="17">
        <v>0</v>
      </c>
      <c r="Q14" s="20">
        <v>0</v>
      </c>
      <c r="R14" s="20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159.5</v>
      </c>
      <c r="AB14" s="17">
        <v>0</v>
      </c>
      <c r="AC14" s="17">
        <v>0</v>
      </c>
      <c r="AD14" s="17">
        <v>348.7</v>
      </c>
      <c r="AE14" s="17">
        <f t="shared" si="3"/>
        <v>47671.169999999991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f t="shared" si="0"/>
        <v>0</v>
      </c>
      <c r="AN14" s="17">
        <f t="shared" si="2"/>
        <v>47671.169999999991</v>
      </c>
    </row>
    <row r="15" spans="1:41" ht="19.5" x14ac:dyDescent="0.3">
      <c r="A15" s="18"/>
      <c r="B15" s="18" t="s">
        <v>54</v>
      </c>
      <c r="C15" s="17">
        <v>0</v>
      </c>
      <c r="D15" s="19">
        <v>0</v>
      </c>
      <c r="E15" s="19">
        <v>275</v>
      </c>
      <c r="F15" s="19">
        <v>3000</v>
      </c>
      <c r="G15" s="17">
        <f>9004+69017</f>
        <v>78021</v>
      </c>
      <c r="H15" s="17">
        <v>70</v>
      </c>
      <c r="I15" s="17">
        <v>2500</v>
      </c>
      <c r="J15" s="17">
        <v>0</v>
      </c>
      <c r="K15" s="17">
        <v>0</v>
      </c>
      <c r="L15" s="17">
        <v>130</v>
      </c>
      <c r="M15" s="17">
        <v>0</v>
      </c>
      <c r="N15" s="17">
        <v>5000</v>
      </c>
      <c r="O15" s="17">
        <v>50</v>
      </c>
      <c r="P15" s="17">
        <v>1168.3699999999999</v>
      </c>
      <c r="Q15" s="20">
        <v>28204</v>
      </c>
      <c r="R15" s="20">
        <v>4</v>
      </c>
      <c r="S15" s="17">
        <v>130</v>
      </c>
      <c r="T15" s="17">
        <v>0</v>
      </c>
      <c r="U15" s="17">
        <v>0</v>
      </c>
      <c r="V15" s="17">
        <v>0</v>
      </c>
      <c r="W15" s="17">
        <v>0</v>
      </c>
      <c r="X15" s="17">
        <v>480</v>
      </c>
      <c r="Y15" s="17">
        <v>0</v>
      </c>
      <c r="Z15" s="17">
        <v>1099.28</v>
      </c>
      <c r="AA15" s="17">
        <v>299.05</v>
      </c>
      <c r="AB15" s="17">
        <v>0</v>
      </c>
      <c r="AC15" s="17">
        <v>5592.51</v>
      </c>
      <c r="AD15" s="17">
        <v>6104.75</v>
      </c>
      <c r="AE15" s="17">
        <f t="shared" si="3"/>
        <v>132127.96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f t="shared" si="0"/>
        <v>0</v>
      </c>
      <c r="AN15" s="17">
        <f t="shared" si="2"/>
        <v>132127.96</v>
      </c>
    </row>
    <row r="16" spans="1:41" ht="19.5" x14ac:dyDescent="0.3">
      <c r="A16" s="18"/>
      <c r="B16" s="18" t="s">
        <v>55</v>
      </c>
      <c r="C16" s="17">
        <v>5000</v>
      </c>
      <c r="D16" s="19">
        <v>60</v>
      </c>
      <c r="E16" s="19">
        <v>6800</v>
      </c>
      <c r="F16" s="19">
        <v>13500</v>
      </c>
      <c r="G16" s="17">
        <v>3200</v>
      </c>
      <c r="H16" s="17">
        <v>87.6</v>
      </c>
      <c r="I16" s="17">
        <v>28000</v>
      </c>
      <c r="J16" s="17">
        <v>14500</v>
      </c>
      <c r="K16" s="17">
        <v>9992</v>
      </c>
      <c r="L16" s="17">
        <v>2458.5</v>
      </c>
      <c r="M16" s="17">
        <v>5200</v>
      </c>
      <c r="N16" s="17">
        <v>19150</v>
      </c>
      <c r="O16" s="17">
        <v>5500</v>
      </c>
      <c r="P16" s="17">
        <v>5300</v>
      </c>
      <c r="Q16" s="20">
        <v>6760</v>
      </c>
      <c r="R16" s="20">
        <v>15</v>
      </c>
      <c r="S16" s="17">
        <v>115</v>
      </c>
      <c r="T16" s="17">
        <v>0</v>
      </c>
      <c r="U16" s="17">
        <v>0</v>
      </c>
      <c r="V16" s="17">
        <v>1200</v>
      </c>
      <c r="W16" s="17">
        <v>6000</v>
      </c>
      <c r="X16" s="17">
        <v>2532.4299999999998</v>
      </c>
      <c r="Y16" s="17">
        <v>0</v>
      </c>
      <c r="Z16" s="17">
        <v>9523.51</v>
      </c>
      <c r="AA16" s="17">
        <v>41.02</v>
      </c>
      <c r="AB16" s="17">
        <v>14904</v>
      </c>
      <c r="AC16" s="17">
        <v>5527.89</v>
      </c>
      <c r="AD16" s="17">
        <v>1435.86</v>
      </c>
      <c r="AE16" s="17">
        <f t="shared" si="3"/>
        <v>166802.81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2421.7800000000002</v>
      </c>
      <c r="AM16" s="17">
        <f t="shared" si="0"/>
        <v>2421.7800000000002</v>
      </c>
      <c r="AN16" s="17">
        <f t="shared" si="2"/>
        <v>169224.59</v>
      </c>
    </row>
    <row r="17" spans="1:42" ht="19.5" x14ac:dyDescent="0.3">
      <c r="A17" s="18"/>
      <c r="B17" s="18" t="s">
        <v>56</v>
      </c>
      <c r="C17" s="17">
        <v>0</v>
      </c>
      <c r="D17" s="19">
        <v>0</v>
      </c>
      <c r="E17" s="19">
        <v>0</v>
      </c>
      <c r="F17" s="19">
        <v>0</v>
      </c>
      <c r="G17" s="17">
        <v>0</v>
      </c>
      <c r="H17" s="17">
        <v>0</v>
      </c>
      <c r="I17" s="17">
        <v>0.01</v>
      </c>
      <c r="J17" s="17">
        <v>0</v>
      </c>
      <c r="K17" s="17">
        <v>0</v>
      </c>
      <c r="L17" s="17">
        <v>0</v>
      </c>
      <c r="M17" s="17">
        <v>0</v>
      </c>
      <c r="N17" s="17">
        <v>400</v>
      </c>
      <c r="O17" s="17">
        <v>50</v>
      </c>
      <c r="P17" s="17">
        <v>0</v>
      </c>
      <c r="Q17" s="20">
        <v>0</v>
      </c>
      <c r="R17" s="20">
        <v>0</v>
      </c>
      <c r="S17" s="17">
        <v>30</v>
      </c>
      <c r="T17" s="17">
        <v>0</v>
      </c>
      <c r="U17" s="17">
        <v>0</v>
      </c>
      <c r="V17" s="17">
        <v>0</v>
      </c>
      <c r="W17" s="17">
        <v>100</v>
      </c>
      <c r="X17" s="17">
        <v>4615.01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3500</v>
      </c>
      <c r="AE17" s="17">
        <f t="shared" si="3"/>
        <v>8695.02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f t="shared" si="0"/>
        <v>0</v>
      </c>
      <c r="AN17" s="17">
        <f t="shared" si="2"/>
        <v>8695.02</v>
      </c>
    </row>
    <row r="18" spans="1:42" ht="19.5" x14ac:dyDescent="0.3">
      <c r="A18" s="18"/>
      <c r="B18" s="18" t="s">
        <v>57</v>
      </c>
      <c r="C18" s="17">
        <v>214</v>
      </c>
      <c r="D18" s="19">
        <v>315</v>
      </c>
      <c r="E18" s="19">
        <v>2769.3</v>
      </c>
      <c r="F18" s="19">
        <v>32623.439999999999</v>
      </c>
      <c r="G18" s="17">
        <v>23373</v>
      </c>
      <c r="H18" s="17">
        <v>2060.17</v>
      </c>
      <c r="I18" s="17">
        <v>7325</v>
      </c>
      <c r="J18" s="17">
        <v>11440</v>
      </c>
      <c r="K18" s="17">
        <v>142</v>
      </c>
      <c r="L18" s="17">
        <v>972.53</v>
      </c>
      <c r="M18" s="17">
        <v>5000</v>
      </c>
      <c r="N18" s="17">
        <v>37490</v>
      </c>
      <c r="O18" s="17">
        <v>6200</v>
      </c>
      <c r="P18" s="17">
        <v>47651.01</v>
      </c>
      <c r="Q18" s="20">
        <v>7073</v>
      </c>
      <c r="R18" s="20">
        <v>220</v>
      </c>
      <c r="S18" s="17">
        <v>1125</v>
      </c>
      <c r="T18" s="17">
        <v>604.04</v>
      </c>
      <c r="U18" s="17">
        <v>1150</v>
      </c>
      <c r="V18" s="17">
        <v>13264.69</v>
      </c>
      <c r="W18" s="17">
        <v>2301</v>
      </c>
      <c r="X18" s="17">
        <v>12764.45</v>
      </c>
      <c r="Y18" s="17">
        <v>656.86</v>
      </c>
      <c r="Z18" s="17">
        <v>27784.02</v>
      </c>
      <c r="AA18" s="17">
        <v>924</v>
      </c>
      <c r="AB18" s="17">
        <v>4608</v>
      </c>
      <c r="AC18" s="17">
        <v>4502.4399999999996</v>
      </c>
      <c r="AD18" s="17">
        <v>16097</v>
      </c>
      <c r="AE18" s="17">
        <f t="shared" si="3"/>
        <v>270649.95</v>
      </c>
      <c r="AF18" s="17">
        <v>200</v>
      </c>
      <c r="AG18" s="17">
        <v>82</v>
      </c>
      <c r="AH18" s="17">
        <v>50</v>
      </c>
      <c r="AI18" s="17">
        <v>22</v>
      </c>
      <c r="AJ18" s="17">
        <v>0</v>
      </c>
      <c r="AK18" s="17">
        <v>300</v>
      </c>
      <c r="AL18" s="17">
        <v>4799.1000000000004</v>
      </c>
      <c r="AM18" s="17">
        <f t="shared" si="0"/>
        <v>5453.1</v>
      </c>
      <c r="AN18" s="17">
        <f t="shared" si="2"/>
        <v>276103.05</v>
      </c>
    </row>
    <row r="19" spans="1:42" ht="19.5" x14ac:dyDescent="0.3">
      <c r="A19" s="18"/>
      <c r="B19" s="18" t="s">
        <v>58</v>
      </c>
      <c r="C19" s="17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7"/>
      <c r="AF19" s="17"/>
      <c r="AG19" s="17"/>
      <c r="AH19" s="17"/>
      <c r="AI19" s="17"/>
      <c r="AJ19" s="17"/>
      <c r="AK19" s="17"/>
      <c r="AM19" s="17"/>
      <c r="AN19" s="17"/>
    </row>
    <row r="20" spans="1:42" ht="19.5" x14ac:dyDescent="0.3">
      <c r="A20" s="18"/>
      <c r="B20" s="18" t="s">
        <v>59</v>
      </c>
      <c r="C20" s="17">
        <v>0</v>
      </c>
      <c r="D20" s="19">
        <v>310</v>
      </c>
      <c r="E20" s="19">
        <v>152</v>
      </c>
      <c r="F20" s="19">
        <v>0</v>
      </c>
      <c r="G20" s="17">
        <v>803</v>
      </c>
      <c r="H20" s="17">
        <v>0.08</v>
      </c>
      <c r="I20" s="17">
        <v>980</v>
      </c>
      <c r="J20" s="17">
        <v>0</v>
      </c>
      <c r="K20" s="17">
        <v>1400</v>
      </c>
      <c r="L20" s="17">
        <v>1118</v>
      </c>
      <c r="M20" s="17">
        <v>0</v>
      </c>
      <c r="N20" s="17">
        <v>1000</v>
      </c>
      <c r="O20" s="17">
        <v>5000</v>
      </c>
      <c r="P20" s="17">
        <v>0</v>
      </c>
      <c r="Q20" s="20">
        <v>0</v>
      </c>
      <c r="R20" s="20">
        <v>8</v>
      </c>
      <c r="S20" s="17">
        <v>800</v>
      </c>
      <c r="T20" s="17">
        <v>230.17</v>
      </c>
      <c r="U20" s="17">
        <v>0</v>
      </c>
      <c r="V20" s="17">
        <v>1500</v>
      </c>
      <c r="W20" s="17">
        <v>0</v>
      </c>
      <c r="X20" s="17">
        <v>8000</v>
      </c>
      <c r="Y20" s="17">
        <v>18.2</v>
      </c>
      <c r="Z20" s="17">
        <v>0</v>
      </c>
      <c r="AA20" s="17">
        <v>594.1</v>
      </c>
      <c r="AB20" s="17">
        <v>0</v>
      </c>
      <c r="AC20" s="17">
        <v>0</v>
      </c>
      <c r="AD20" s="17">
        <v>0</v>
      </c>
      <c r="AE20" s="17">
        <f>+C20+D20+E20+F20+G20+H20+I20+J20+K20+L20+M20+N20+O20+P20+Q20+R20+S20+T20+U20+V20+W20+X20+Y20+Z20+AA20+AB20+AC20+AD20</f>
        <v>21913.55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755</v>
      </c>
      <c r="AM20" s="17">
        <f t="shared" si="0"/>
        <v>755</v>
      </c>
      <c r="AN20" s="17">
        <f t="shared" si="2"/>
        <v>22668.55</v>
      </c>
    </row>
    <row r="21" spans="1:42" ht="19.5" x14ac:dyDescent="0.3">
      <c r="A21" s="18"/>
      <c r="B21" s="18" t="s">
        <v>60</v>
      </c>
      <c r="C21" s="17">
        <v>0</v>
      </c>
      <c r="D21" s="19">
        <v>0</v>
      </c>
      <c r="E21" s="19">
        <v>0</v>
      </c>
      <c r="F21" s="19">
        <v>0</v>
      </c>
      <c r="G21" s="17">
        <v>700</v>
      </c>
      <c r="H21" s="17">
        <v>0</v>
      </c>
      <c r="I21" s="17">
        <v>0</v>
      </c>
      <c r="J21" s="17">
        <v>0</v>
      </c>
      <c r="K21" s="17">
        <v>0</v>
      </c>
      <c r="L21" s="17">
        <v>11208</v>
      </c>
      <c r="M21" s="17">
        <f>620+20+300+2550+22067+1359+3090+1484</f>
        <v>31490</v>
      </c>
      <c r="N21" s="17">
        <v>0</v>
      </c>
      <c r="O21" s="17">
        <v>34025</v>
      </c>
      <c r="P21" s="17">
        <v>0</v>
      </c>
      <c r="Q21" s="20">
        <v>0</v>
      </c>
      <c r="R21" s="20">
        <v>0</v>
      </c>
      <c r="S21" s="17">
        <v>8445</v>
      </c>
      <c r="T21" s="17">
        <v>0</v>
      </c>
      <c r="U21" s="17">
        <f>50+1133+700+300+300+300+200+150</f>
        <v>3133</v>
      </c>
      <c r="V21" s="17">
        <v>3.3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269317</v>
      </c>
      <c r="AC21" s="17">
        <v>0</v>
      </c>
      <c r="AD21" s="17">
        <v>19591.25</v>
      </c>
      <c r="AE21" s="17">
        <f>+C21+D21+E21+F21+G21+H21+I21+J21+K21+L21+M21+N21+O21+P21+Q21+R21+S21+T21+U21+V21+W21+X21+Y21+Z21+AA21+AB21+AC21+AD21</f>
        <v>377912.55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f>SUM(AF21:AL21)</f>
        <v>0</v>
      </c>
      <c r="AN21" s="17">
        <f t="shared" si="2"/>
        <v>377912.55</v>
      </c>
    </row>
    <row r="22" spans="1:42" ht="19.5" x14ac:dyDescent="0.3">
      <c r="A22" s="15"/>
      <c r="B22" s="15" t="s">
        <v>61</v>
      </c>
      <c r="C22" s="22">
        <f t="shared" ref="C22:AN22" si="4" xml:space="preserve"> SUM(C7:C21)</f>
        <v>269509.01</v>
      </c>
      <c r="D22" s="22">
        <f t="shared" si="4"/>
        <v>10023.6</v>
      </c>
      <c r="E22" s="22">
        <f t="shared" si="4"/>
        <v>81523.049999999988</v>
      </c>
      <c r="F22" s="22">
        <f t="shared" si="4"/>
        <v>192405.03</v>
      </c>
      <c r="G22" s="22">
        <f t="shared" si="4"/>
        <v>228424</v>
      </c>
      <c r="H22" s="22">
        <f t="shared" si="4"/>
        <v>20408.25</v>
      </c>
      <c r="I22" s="22">
        <f t="shared" si="4"/>
        <v>307557.71000000002</v>
      </c>
      <c r="J22" s="22">
        <f t="shared" si="4"/>
        <v>78794</v>
      </c>
      <c r="K22" s="22">
        <f xml:space="preserve"> SUM(K7:K21)</f>
        <v>35618</v>
      </c>
      <c r="L22" s="22">
        <f t="shared" si="4"/>
        <v>23267.279999999999</v>
      </c>
      <c r="M22" s="22">
        <f t="shared" si="4"/>
        <v>65743</v>
      </c>
      <c r="N22" s="22">
        <f t="shared" si="4"/>
        <v>378552</v>
      </c>
      <c r="O22" s="22">
        <f t="shared" si="4"/>
        <v>123641</v>
      </c>
      <c r="P22" s="22">
        <f t="shared" si="4"/>
        <v>206606.17</v>
      </c>
      <c r="Q22" s="22">
        <f t="shared" si="4"/>
        <v>286962</v>
      </c>
      <c r="R22" s="22">
        <f t="shared" si="4"/>
        <v>10358.36</v>
      </c>
      <c r="S22" s="22">
        <f t="shared" si="4"/>
        <v>42750</v>
      </c>
      <c r="T22" s="22">
        <f t="shared" si="4"/>
        <v>44547.469999999994</v>
      </c>
      <c r="U22" s="22">
        <f t="shared" si="4"/>
        <v>21733</v>
      </c>
      <c r="V22" s="22">
        <f t="shared" si="4"/>
        <v>134211.44999999998</v>
      </c>
      <c r="W22" s="22">
        <f t="shared" si="4"/>
        <v>50639.55</v>
      </c>
      <c r="X22" s="22">
        <f t="shared" si="4"/>
        <v>143498.56999999998</v>
      </c>
      <c r="Y22" s="22">
        <f xml:space="preserve"> SUM(Y7:Y21)</f>
        <v>6679.7499999999982</v>
      </c>
      <c r="Z22" s="22">
        <f t="shared" si="4"/>
        <v>238695.81</v>
      </c>
      <c r="AA22" s="22">
        <f t="shared" si="4"/>
        <v>13800</v>
      </c>
      <c r="AB22" s="22">
        <f t="shared" si="4"/>
        <v>484153</v>
      </c>
      <c r="AC22" s="22">
        <f t="shared" si="4"/>
        <v>48160.62</v>
      </c>
      <c r="AD22" s="22">
        <f t="shared" si="4"/>
        <v>123697.7</v>
      </c>
      <c r="AE22" s="22">
        <f t="shared" si="4"/>
        <v>3671959.38</v>
      </c>
      <c r="AF22" s="22">
        <f t="shared" si="4"/>
        <v>4938</v>
      </c>
      <c r="AG22" s="22">
        <f t="shared" si="4"/>
        <v>131</v>
      </c>
      <c r="AH22" s="22">
        <f t="shared" si="4"/>
        <v>1096</v>
      </c>
      <c r="AI22" s="22">
        <f t="shared" si="4"/>
        <v>1636</v>
      </c>
      <c r="AJ22" s="22">
        <f t="shared" si="4"/>
        <v>0</v>
      </c>
      <c r="AK22" s="22">
        <f t="shared" si="4"/>
        <v>3150</v>
      </c>
      <c r="AL22" s="22">
        <f xml:space="preserve"> SUM(AL7:AL21)</f>
        <v>22682.869999999995</v>
      </c>
      <c r="AM22" s="22">
        <f t="shared" si="4"/>
        <v>33633.869999999995</v>
      </c>
      <c r="AN22" s="22">
        <f t="shared" si="4"/>
        <v>3705593.2499999991</v>
      </c>
      <c r="AO22" s="21"/>
      <c r="AP22" s="21"/>
    </row>
    <row r="23" spans="1:42" ht="19.5" x14ac:dyDescent="0.3">
      <c r="A23" s="18"/>
      <c r="B23" s="18"/>
      <c r="C23" s="17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3"/>
      <c r="R23" s="23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2" ht="19.5" x14ac:dyDescent="0.3">
      <c r="A24" s="15" t="s">
        <v>62</v>
      </c>
      <c r="B24" s="15" t="s">
        <v>63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0"/>
      <c r="R24" s="20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2" ht="19.5" x14ac:dyDescent="0.3">
      <c r="A25" s="18"/>
      <c r="B25" s="18" t="s">
        <v>64</v>
      </c>
      <c r="C25" s="17">
        <v>442340.55</v>
      </c>
      <c r="D25" s="19">
        <f>200+10+435+80</f>
        <v>725</v>
      </c>
      <c r="E25" s="19">
        <v>0</v>
      </c>
      <c r="F25" s="19">
        <v>1210</v>
      </c>
      <c r="G25" s="17">
        <v>4665</v>
      </c>
      <c r="H25" s="17">
        <v>2002.35</v>
      </c>
      <c r="I25" s="17">
        <v>8505.8799999999992</v>
      </c>
      <c r="J25" s="17">
        <v>0</v>
      </c>
      <c r="K25" s="17">
        <f>150+115+307+776</f>
        <v>1348</v>
      </c>
      <c r="L25" s="17">
        <v>283.79000000000002</v>
      </c>
      <c r="M25" s="17">
        <f>1200+150+2200</f>
        <v>3550</v>
      </c>
      <c r="N25" s="17">
        <v>39978</v>
      </c>
      <c r="O25" s="17">
        <v>0</v>
      </c>
      <c r="P25" s="17">
        <v>39768.6</v>
      </c>
      <c r="Q25" s="20">
        <f>51690+1905</f>
        <v>53595</v>
      </c>
      <c r="R25" s="20">
        <f>167+80+400</f>
        <v>647</v>
      </c>
      <c r="S25" s="17">
        <v>0</v>
      </c>
      <c r="T25" s="17">
        <f>875.58+30+2533.92</f>
        <v>3439.5</v>
      </c>
      <c r="U25" s="17">
        <v>0</v>
      </c>
      <c r="V25" s="17">
        <v>11100</v>
      </c>
      <c r="W25" s="17">
        <v>6079.8</v>
      </c>
      <c r="X25" s="17">
        <f>200+1500+5.1+90.03+1098.52+1999.99+20000+350+3500+8541.03+0.15</f>
        <v>37284.82</v>
      </c>
      <c r="Y25" s="17">
        <f>80+100</f>
        <v>180</v>
      </c>
      <c r="Z25" s="17">
        <v>284285.65000000002</v>
      </c>
      <c r="AA25" s="17">
        <v>40.25</v>
      </c>
      <c r="AB25" s="17">
        <f>28115-23500</f>
        <v>4615</v>
      </c>
      <c r="AC25" s="17">
        <v>0</v>
      </c>
      <c r="AD25" s="17">
        <v>920.95</v>
      </c>
      <c r="AE25" s="17">
        <f>+C25+D25+E25+F25+G25+H25+I25+J25+K25+L25+M25+N25+O25+P25+Q25+R25+S25+T25+U25+V25+W25+X25+Y25+Z25+AA25+AB25+AC25+AD25</f>
        <v>946565.1399999999</v>
      </c>
      <c r="AF25" s="17">
        <v>0</v>
      </c>
      <c r="AG25" s="17">
        <v>0</v>
      </c>
      <c r="AH25" s="17">
        <v>18</v>
      </c>
      <c r="AI25" s="17">
        <v>0</v>
      </c>
      <c r="AJ25" s="17">
        <v>0</v>
      </c>
      <c r="AK25" s="17">
        <v>150</v>
      </c>
      <c r="AL25" s="17">
        <v>5</v>
      </c>
      <c r="AM25" s="17">
        <f>SUM(AF25:AL25)</f>
        <v>173</v>
      </c>
      <c r="AN25" s="17">
        <f t="shared" ref="AN25:AN35" si="5">+AM25+AE25</f>
        <v>946738.1399999999</v>
      </c>
    </row>
    <row r="26" spans="1:42" ht="19.5" x14ac:dyDescent="0.3">
      <c r="A26" s="18"/>
      <c r="B26" s="18" t="s">
        <v>65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0"/>
      <c r="R26" s="20"/>
      <c r="S26" s="17" t="s">
        <v>66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2" ht="19.5" x14ac:dyDescent="0.3">
      <c r="A27" s="18"/>
      <c r="B27" s="18" t="s">
        <v>67</v>
      </c>
      <c r="C27" s="17">
        <v>0</v>
      </c>
      <c r="D27" s="17">
        <v>58</v>
      </c>
      <c r="E27" s="17">
        <v>0</v>
      </c>
      <c r="F27" s="17">
        <v>24000</v>
      </c>
      <c r="G27" s="17">
        <v>0</v>
      </c>
      <c r="H27" s="17">
        <v>67.5</v>
      </c>
      <c r="I27" s="17">
        <f>6455+500</f>
        <v>6955</v>
      </c>
      <c r="J27" s="17">
        <v>0</v>
      </c>
      <c r="K27" s="17">
        <v>0</v>
      </c>
      <c r="L27" s="17">
        <v>136.05000000000001</v>
      </c>
      <c r="M27" s="17">
        <v>7400</v>
      </c>
      <c r="N27" s="17">
        <v>3000</v>
      </c>
      <c r="O27" s="17"/>
      <c r="P27" s="17">
        <v>5435.25</v>
      </c>
      <c r="Q27" s="20">
        <v>0</v>
      </c>
      <c r="R27" s="20">
        <v>0</v>
      </c>
      <c r="S27" s="17">
        <v>200</v>
      </c>
      <c r="T27" s="17">
        <v>0</v>
      </c>
      <c r="U27" s="17">
        <v>0</v>
      </c>
      <c r="V27" s="17">
        <v>0</v>
      </c>
      <c r="W27" s="3">
        <v>0</v>
      </c>
      <c r="X27" s="17">
        <v>0</v>
      </c>
      <c r="Y27" s="17">
        <v>0</v>
      </c>
      <c r="Z27" s="17">
        <v>0</v>
      </c>
      <c r="AA27" s="17">
        <v>753.75</v>
      </c>
      <c r="AB27" s="17">
        <v>23500</v>
      </c>
      <c r="AC27" s="17">
        <v>0</v>
      </c>
      <c r="AD27" s="17">
        <v>9411.75</v>
      </c>
      <c r="AE27" s="17">
        <f>+C27+D27+E27+F27+G27+H27+I27+J27+K27+L27+M27+N27+O27+P27+Q27+R27+S27+T27+U27+V27+W27+X27+Y27+Z27+AA27+AB27+AC27+AD27</f>
        <v>80917.3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f>SUM(AF27:AL27)</f>
        <v>0</v>
      </c>
      <c r="AN27" s="17">
        <f t="shared" si="5"/>
        <v>80917.3</v>
      </c>
    </row>
    <row r="28" spans="1:42" ht="19.5" x14ac:dyDescent="0.3">
      <c r="A28" s="18"/>
      <c r="B28" s="18" t="s">
        <v>68</v>
      </c>
      <c r="C28" s="17">
        <v>0</v>
      </c>
      <c r="D28" s="19">
        <v>0</v>
      </c>
      <c r="E28" s="19">
        <v>0</v>
      </c>
      <c r="F28" s="19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/>
      <c r="P28" s="17">
        <v>0</v>
      </c>
      <c r="Q28" s="20">
        <v>0</v>
      </c>
      <c r="R28" s="20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9.6999999999999993</v>
      </c>
      <c r="AE28" s="17">
        <f>+C28+D28+E28+F28+G28+H28+I28+J28+K28+L28+M28+N28+O28+P28+Q28+R28+S28+T28+U28+V28+W28+X28+Y28+Z28+AA28+AB28+AC28+AD28</f>
        <v>9.6999999999999993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f>SUM(AF28:AL28)</f>
        <v>0</v>
      </c>
      <c r="AN28" s="17">
        <f t="shared" si="5"/>
        <v>9.6999999999999993</v>
      </c>
    </row>
    <row r="29" spans="1:42" ht="19.5" x14ac:dyDescent="0.3">
      <c r="A29" s="18"/>
      <c r="B29" s="18" t="s">
        <v>69</v>
      </c>
      <c r="C29" s="17">
        <v>0</v>
      </c>
      <c r="D29" s="17">
        <v>0</v>
      </c>
      <c r="E29" s="17">
        <v>0</v>
      </c>
      <c r="F29" s="17">
        <v>30000</v>
      </c>
      <c r="G29" s="17">
        <v>26114</v>
      </c>
      <c r="H29" s="17">
        <v>355.35</v>
      </c>
      <c r="I29" s="17">
        <v>23424.41</v>
      </c>
      <c r="J29" s="17">
        <v>0</v>
      </c>
      <c r="K29" s="17">
        <v>7408</v>
      </c>
      <c r="L29" s="17">
        <v>0</v>
      </c>
      <c r="M29" s="17">
        <v>0</v>
      </c>
      <c r="N29" s="17">
        <v>0</v>
      </c>
      <c r="O29" s="17"/>
      <c r="P29" s="17">
        <v>0</v>
      </c>
      <c r="Q29" s="20">
        <v>0</v>
      </c>
      <c r="R29" s="20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500</v>
      </c>
      <c r="Z29" s="17">
        <v>0</v>
      </c>
      <c r="AA29" s="17">
        <v>0</v>
      </c>
      <c r="AB29" s="17">
        <v>50000</v>
      </c>
      <c r="AC29" s="17">
        <v>0</v>
      </c>
      <c r="AD29" s="17">
        <v>0</v>
      </c>
      <c r="AE29" s="17">
        <f>+C29+D29+E29+F29+G29+H29+I29+J29+K29+L29+M29+N29+O29+P29+Q29+R29+S29+T29+U29+V29+W29+X29+Y29+Z29+AA29+AB29+AC29+AD29</f>
        <v>137801.76</v>
      </c>
      <c r="AF29" s="17">
        <v>37</v>
      </c>
      <c r="AG29" s="17">
        <v>0</v>
      </c>
      <c r="AH29" s="17">
        <v>903</v>
      </c>
      <c r="AI29" s="17">
        <v>0</v>
      </c>
      <c r="AJ29" s="17">
        <v>0</v>
      </c>
      <c r="AK29" s="17">
        <v>0</v>
      </c>
      <c r="AL29" s="17">
        <v>0</v>
      </c>
      <c r="AM29" s="17">
        <f>SUM(AF29:AL29)</f>
        <v>940</v>
      </c>
      <c r="AN29" s="17">
        <f t="shared" si="5"/>
        <v>138741.76000000001</v>
      </c>
    </row>
    <row r="30" spans="1:42" ht="19.5" x14ac:dyDescent="0.3">
      <c r="A30" s="18"/>
      <c r="B30" s="18" t="s">
        <v>70</v>
      </c>
      <c r="C30" s="17">
        <v>0</v>
      </c>
      <c r="D30" s="17">
        <v>400</v>
      </c>
      <c r="E30" s="17">
        <v>75638</v>
      </c>
      <c r="F30" s="17"/>
      <c r="G30" s="17">
        <f>55+600</f>
        <v>655</v>
      </c>
      <c r="H30" s="17">
        <v>0</v>
      </c>
      <c r="I30" s="17">
        <v>16445.71</v>
      </c>
      <c r="J30" s="17">
        <v>0</v>
      </c>
      <c r="K30" s="17">
        <f>422+1000+100+1500</f>
        <v>3022</v>
      </c>
      <c r="L30" s="17">
        <v>0</v>
      </c>
      <c r="M30" s="17">
        <f>1590+12000+15000</f>
        <v>28590</v>
      </c>
      <c r="N30" s="17">
        <v>14003</v>
      </c>
      <c r="O30" s="17">
        <v>17450</v>
      </c>
      <c r="P30" s="17">
        <f>46966.5+13650+850+140</f>
        <v>61606.5</v>
      </c>
      <c r="Q30" s="20">
        <v>17768</v>
      </c>
      <c r="R30" s="20">
        <v>0</v>
      </c>
      <c r="S30" s="17">
        <f>200+800</f>
        <v>1000</v>
      </c>
      <c r="T30" s="17">
        <v>220.23</v>
      </c>
      <c r="U30" s="17">
        <v>0</v>
      </c>
      <c r="V30" s="17">
        <v>19500</v>
      </c>
      <c r="W30" s="17">
        <v>5500</v>
      </c>
      <c r="X30" s="17">
        <f>12100+6459+35000+2962</f>
        <v>56521</v>
      </c>
      <c r="Y30" s="17">
        <v>0</v>
      </c>
      <c r="Z30" s="17">
        <v>0</v>
      </c>
      <c r="AA30" s="17">
        <f>5383.74+6.4</f>
        <v>5390.1399999999994</v>
      </c>
      <c r="AB30" s="17">
        <v>0</v>
      </c>
      <c r="AC30" s="17">
        <v>59752.959999999999</v>
      </c>
      <c r="AD30" s="17">
        <f>13581.35+17500</f>
        <v>31081.35</v>
      </c>
      <c r="AE30" s="17">
        <f>+C30+D30+E30+F30+G30+H30+I30+J30+K30+L30+M30+N30+O30+P30+Q30+R30+S30+T30+U30+V30+W30+X30+Y30+Z30+AA30+AB30+AC30+AD30</f>
        <v>414543.89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f>SUM(AF30:AL30)</f>
        <v>0</v>
      </c>
      <c r="AN30" s="17">
        <f t="shared" si="5"/>
        <v>414543.89</v>
      </c>
    </row>
    <row r="31" spans="1:42" ht="19.5" x14ac:dyDescent="0.3">
      <c r="A31" s="15"/>
      <c r="B31" s="15" t="s">
        <v>71</v>
      </c>
      <c r="C31" s="22">
        <f>SUM(C27:C30)</f>
        <v>0</v>
      </c>
      <c r="D31" s="22">
        <f t="shared" ref="D31:AN31" si="6">SUM(D27:D30)</f>
        <v>458</v>
      </c>
      <c r="E31" s="22">
        <f t="shared" si="6"/>
        <v>75638</v>
      </c>
      <c r="F31" s="22">
        <f t="shared" si="6"/>
        <v>54000</v>
      </c>
      <c r="G31" s="22">
        <f t="shared" si="6"/>
        <v>26769</v>
      </c>
      <c r="H31" s="22">
        <f t="shared" si="6"/>
        <v>422.85</v>
      </c>
      <c r="I31" s="22">
        <f t="shared" si="6"/>
        <v>46825.119999999995</v>
      </c>
      <c r="J31" s="22">
        <f t="shared" si="6"/>
        <v>0</v>
      </c>
      <c r="K31" s="22">
        <f t="shared" si="6"/>
        <v>10430</v>
      </c>
      <c r="L31" s="22">
        <f t="shared" si="6"/>
        <v>136.05000000000001</v>
      </c>
      <c r="M31" s="22">
        <f t="shared" si="6"/>
        <v>35990</v>
      </c>
      <c r="N31" s="22">
        <f t="shared" si="6"/>
        <v>17003</v>
      </c>
      <c r="O31" s="22">
        <f t="shared" si="6"/>
        <v>17450</v>
      </c>
      <c r="P31" s="22">
        <f t="shared" si="6"/>
        <v>67041.75</v>
      </c>
      <c r="Q31" s="22">
        <f t="shared" si="6"/>
        <v>17768</v>
      </c>
      <c r="R31" s="22">
        <f t="shared" si="6"/>
        <v>0</v>
      </c>
      <c r="S31" s="22">
        <f t="shared" si="6"/>
        <v>1200</v>
      </c>
      <c r="T31" s="22">
        <f t="shared" si="6"/>
        <v>220.23</v>
      </c>
      <c r="U31" s="22">
        <f t="shared" si="6"/>
        <v>0</v>
      </c>
      <c r="V31" s="22">
        <f t="shared" si="6"/>
        <v>19500</v>
      </c>
      <c r="W31" s="22">
        <f t="shared" si="6"/>
        <v>5500</v>
      </c>
      <c r="X31" s="22">
        <f t="shared" si="6"/>
        <v>56521</v>
      </c>
      <c r="Y31" s="22">
        <f t="shared" si="6"/>
        <v>500</v>
      </c>
      <c r="Z31" s="22">
        <f t="shared" si="6"/>
        <v>0</v>
      </c>
      <c r="AA31" s="22">
        <f t="shared" si="6"/>
        <v>6143.8899999999994</v>
      </c>
      <c r="AB31" s="22">
        <f t="shared" si="6"/>
        <v>73500</v>
      </c>
      <c r="AC31" s="22">
        <f t="shared" si="6"/>
        <v>59752.959999999999</v>
      </c>
      <c r="AD31" s="22">
        <f t="shared" si="6"/>
        <v>40502.800000000003</v>
      </c>
      <c r="AE31" s="22">
        <f t="shared" si="6"/>
        <v>633272.65</v>
      </c>
      <c r="AF31" s="22">
        <f t="shared" si="6"/>
        <v>37</v>
      </c>
      <c r="AG31" s="22">
        <f t="shared" si="6"/>
        <v>0</v>
      </c>
      <c r="AH31" s="22">
        <f t="shared" si="6"/>
        <v>903</v>
      </c>
      <c r="AI31" s="22">
        <f t="shared" si="6"/>
        <v>0</v>
      </c>
      <c r="AJ31" s="22">
        <f t="shared" si="6"/>
        <v>0</v>
      </c>
      <c r="AK31" s="22">
        <f t="shared" si="6"/>
        <v>0</v>
      </c>
      <c r="AL31" s="22">
        <f t="shared" si="6"/>
        <v>0</v>
      </c>
      <c r="AM31" s="22">
        <f t="shared" si="6"/>
        <v>940</v>
      </c>
      <c r="AN31" s="22">
        <f t="shared" si="6"/>
        <v>634212.65</v>
      </c>
    </row>
    <row r="32" spans="1:42" ht="19.5" x14ac:dyDescent="0.3">
      <c r="A32" s="18"/>
      <c r="B32" s="18" t="s">
        <v>72</v>
      </c>
      <c r="C32" s="17">
        <v>7620</v>
      </c>
      <c r="D32" s="17">
        <v>348.75</v>
      </c>
      <c r="E32" s="17">
        <v>1000</v>
      </c>
      <c r="F32" s="17">
        <v>13640.2</v>
      </c>
      <c r="G32" s="17">
        <v>504</v>
      </c>
      <c r="H32" s="17">
        <v>570</v>
      </c>
      <c r="I32" s="17">
        <v>56585</v>
      </c>
      <c r="J32" s="17">
        <v>1815</v>
      </c>
      <c r="K32" s="17">
        <v>203</v>
      </c>
      <c r="L32" s="17">
        <v>3187</v>
      </c>
      <c r="M32" s="17">
        <v>1500</v>
      </c>
      <c r="N32" s="17">
        <v>1122</v>
      </c>
      <c r="O32" s="17">
        <v>1000</v>
      </c>
      <c r="P32" s="17">
        <v>4905.2</v>
      </c>
      <c r="Q32" s="20">
        <v>4763</v>
      </c>
      <c r="R32" s="20">
        <v>460</v>
      </c>
      <c r="S32" s="17">
        <v>465</v>
      </c>
      <c r="T32" s="17">
        <v>345.3</v>
      </c>
      <c r="U32" s="17">
        <v>250</v>
      </c>
      <c r="V32" s="17">
        <v>9075</v>
      </c>
      <c r="W32" s="17">
        <v>0</v>
      </c>
      <c r="X32" s="17">
        <v>8007.1</v>
      </c>
      <c r="Y32" s="17">
        <v>38413.800000000003</v>
      </c>
      <c r="Z32" s="17">
        <v>0</v>
      </c>
      <c r="AA32" s="17">
        <v>124.5</v>
      </c>
      <c r="AB32" s="17">
        <v>10</v>
      </c>
      <c r="AC32" s="17">
        <v>0</v>
      </c>
      <c r="AD32" s="17">
        <v>4850</v>
      </c>
      <c r="AE32" s="17">
        <f>+C32+D32+E32+F32+G32+H32+I32+J32+K32+L32+M32+N32+O32+P32+Q32+R32+S32+T32+U32+V32+W32+X32+Y32+Z32+AA32+AB32+AC32+AD32</f>
        <v>160763.85</v>
      </c>
      <c r="AF32" s="17">
        <v>585</v>
      </c>
      <c r="AG32" s="17">
        <v>0</v>
      </c>
      <c r="AH32" s="17">
        <v>8</v>
      </c>
      <c r="AI32" s="17">
        <v>50</v>
      </c>
      <c r="AJ32" s="17">
        <v>0</v>
      </c>
      <c r="AK32" s="17">
        <v>0</v>
      </c>
      <c r="AL32" s="17">
        <v>50</v>
      </c>
      <c r="AM32" s="17">
        <f>SUM(AF32:AL32)</f>
        <v>693</v>
      </c>
      <c r="AN32" s="17">
        <f t="shared" si="5"/>
        <v>161456.85</v>
      </c>
    </row>
    <row r="33" spans="1:40" ht="19.5" x14ac:dyDescent="0.3">
      <c r="A33" s="18"/>
      <c r="B33" s="18" t="s">
        <v>73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0"/>
      <c r="R33" s="20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19.5" x14ac:dyDescent="0.3">
      <c r="A34" s="18"/>
      <c r="B34" s="18" t="s">
        <v>74</v>
      </c>
      <c r="C34" s="20">
        <f>38977+12</f>
        <v>38989</v>
      </c>
      <c r="D34" s="19">
        <v>866.2</v>
      </c>
      <c r="E34" s="19">
        <v>12234</v>
      </c>
      <c r="F34" s="19">
        <f>9800+38600</f>
        <v>48400</v>
      </c>
      <c r="G34" s="17">
        <v>24555</v>
      </c>
      <c r="H34" s="17">
        <v>6807</v>
      </c>
      <c r="I34" s="17">
        <v>22809.7</v>
      </c>
      <c r="J34" s="17">
        <f>18700+73900</f>
        <v>92600</v>
      </c>
      <c r="K34" s="17">
        <v>5210</v>
      </c>
      <c r="L34" s="17">
        <v>2200</v>
      </c>
      <c r="M34" s="17">
        <f>9369+1600</f>
        <v>10969</v>
      </c>
      <c r="N34" s="17">
        <v>0</v>
      </c>
      <c r="O34" s="17">
        <v>25837</v>
      </c>
      <c r="P34" s="17">
        <v>82455.69</v>
      </c>
      <c r="Q34" s="20">
        <v>15230</v>
      </c>
      <c r="R34" s="20">
        <v>170</v>
      </c>
      <c r="S34" s="17">
        <v>1300</v>
      </c>
      <c r="T34" s="17">
        <v>0</v>
      </c>
      <c r="U34" s="17">
        <v>3599</v>
      </c>
      <c r="V34" s="17">
        <f>20+120+70</f>
        <v>210</v>
      </c>
      <c r="W34" s="17">
        <v>0</v>
      </c>
      <c r="X34" s="17">
        <v>223829.7</v>
      </c>
      <c r="Y34" s="17">
        <v>2385.38</v>
      </c>
      <c r="Z34" s="17">
        <v>131277.26999999999</v>
      </c>
      <c r="AA34" s="17">
        <v>4377.05</v>
      </c>
      <c r="AB34" s="17">
        <v>10340</v>
      </c>
      <c r="AC34" s="17">
        <v>10909.27</v>
      </c>
      <c r="AD34" s="17">
        <v>0</v>
      </c>
      <c r="AE34" s="17">
        <f>+C34+D34+E34+F34+G34+H34+I34+J34+K34+L34+M34+N34+O34+P34+Q34+R34+S34+T34+U34+V34+W34+X34+Y34+Z34+AA34+AB34+AC34+AD34</f>
        <v>777560.26000000013</v>
      </c>
      <c r="AF34" s="19">
        <v>5709</v>
      </c>
      <c r="AG34" s="19">
        <v>260</v>
      </c>
      <c r="AH34" s="19">
        <v>1959</v>
      </c>
      <c r="AI34" s="19">
        <v>1472</v>
      </c>
      <c r="AJ34" s="19">
        <v>1002</v>
      </c>
      <c r="AK34" s="19">
        <v>500</v>
      </c>
      <c r="AL34" s="19">
        <v>7654</v>
      </c>
      <c r="AM34" s="17">
        <f>SUM(AF34:AL34)</f>
        <v>18556</v>
      </c>
      <c r="AN34" s="17">
        <f t="shared" si="5"/>
        <v>796116.26000000013</v>
      </c>
    </row>
    <row r="35" spans="1:40" ht="19.5" x14ac:dyDescent="0.3">
      <c r="A35" s="18"/>
      <c r="B35" s="18" t="s">
        <v>75</v>
      </c>
      <c r="C35" s="20">
        <f>32900+237+340+24000+2100+1136</f>
        <v>60713</v>
      </c>
      <c r="D35" s="17">
        <v>277</v>
      </c>
      <c r="E35" s="17">
        <v>0</v>
      </c>
      <c r="F35" s="17">
        <v>0</v>
      </c>
      <c r="G35" s="17">
        <v>9604</v>
      </c>
      <c r="H35" s="17">
        <v>3059</v>
      </c>
      <c r="I35" s="17">
        <v>12000</v>
      </c>
      <c r="J35" s="17">
        <v>12602</v>
      </c>
      <c r="K35" s="17">
        <v>0</v>
      </c>
      <c r="L35" s="17">
        <v>0</v>
      </c>
      <c r="M35" s="17">
        <f>2500+100+43630+4770+300+1200+6000+4100+12300+13592+168+8200+50+50+250+500+4000+2000+1000+2000+100+1000+4200+6750</f>
        <v>118760</v>
      </c>
      <c r="N35" s="17">
        <v>85162</v>
      </c>
      <c r="O35" s="17">
        <v>0</v>
      </c>
      <c r="P35" s="17">
        <v>425</v>
      </c>
      <c r="Q35" s="20">
        <v>59000</v>
      </c>
      <c r="R35" s="20">
        <f>500+3000+264+11000</f>
        <v>14764</v>
      </c>
      <c r="S35" s="17">
        <f>100+2000+6250+4000+280+1000+5+1</f>
        <v>13636</v>
      </c>
      <c r="T35" s="17">
        <f>524+400</f>
        <v>924</v>
      </c>
      <c r="U35" s="17">
        <v>0</v>
      </c>
      <c r="V35" s="17">
        <f>3.5+250</f>
        <v>253.5</v>
      </c>
      <c r="W35" s="17">
        <v>18711.099999999999</v>
      </c>
      <c r="X35" s="17">
        <v>0</v>
      </c>
      <c r="Y35" s="17">
        <f>200+1930+651.21+1075+1500+200</f>
        <v>5556.21</v>
      </c>
      <c r="Z35" s="17">
        <v>0</v>
      </c>
      <c r="AA35" s="17">
        <f>13+1366</f>
        <v>1379</v>
      </c>
      <c r="AB35" s="17">
        <f>63000+1210</f>
        <v>64210</v>
      </c>
      <c r="AC35" s="17">
        <v>0</v>
      </c>
      <c r="AD35" s="17">
        <v>112452.8</v>
      </c>
      <c r="AE35" s="17">
        <f>+C35+D35+E35+F35+G35+H35+I35+J35+K35+L35+M35+N35+O35+P35+Q35+R35+S35+T35+U35+V35+W35+X35+Y35+Z35+AA35+AB35+AC35+AD35</f>
        <v>593488.61</v>
      </c>
      <c r="AF35" s="17">
        <v>468</v>
      </c>
      <c r="AG35" s="22">
        <v>300</v>
      </c>
      <c r="AH35" s="17">
        <v>0</v>
      </c>
      <c r="AI35" s="17">
        <v>0</v>
      </c>
      <c r="AJ35" s="17">
        <v>15220</v>
      </c>
      <c r="AK35" s="17">
        <v>0</v>
      </c>
      <c r="AL35" s="17">
        <v>432.03</v>
      </c>
      <c r="AM35" s="17">
        <f>SUM(AF35:AL35)</f>
        <v>16420.03</v>
      </c>
      <c r="AN35" s="17">
        <f t="shared" si="5"/>
        <v>609908.64</v>
      </c>
    </row>
    <row r="36" spans="1:40" ht="19.5" x14ac:dyDescent="0.3">
      <c r="A36" s="15"/>
      <c r="B36" s="15" t="s">
        <v>76</v>
      </c>
      <c r="C36" s="22">
        <f>SUM(C34:C35)</f>
        <v>99702</v>
      </c>
      <c r="D36" s="22">
        <f t="shared" ref="D36:AN36" si="7">SUM(D34:D35)</f>
        <v>1143.2</v>
      </c>
      <c r="E36" s="22">
        <f t="shared" si="7"/>
        <v>12234</v>
      </c>
      <c r="F36" s="22">
        <f t="shared" si="7"/>
        <v>48400</v>
      </c>
      <c r="G36" s="22">
        <f t="shared" si="7"/>
        <v>34159</v>
      </c>
      <c r="H36" s="22">
        <f t="shared" si="7"/>
        <v>9866</v>
      </c>
      <c r="I36" s="22">
        <f t="shared" si="7"/>
        <v>34809.699999999997</v>
      </c>
      <c r="J36" s="22">
        <f t="shared" si="7"/>
        <v>105202</v>
      </c>
      <c r="K36" s="22">
        <f t="shared" si="7"/>
        <v>5210</v>
      </c>
      <c r="L36" s="22">
        <f t="shared" si="7"/>
        <v>2200</v>
      </c>
      <c r="M36" s="22">
        <f t="shared" si="7"/>
        <v>129729</v>
      </c>
      <c r="N36" s="22">
        <f t="shared" si="7"/>
        <v>85162</v>
      </c>
      <c r="O36" s="22">
        <f t="shared" si="7"/>
        <v>25837</v>
      </c>
      <c r="P36" s="22">
        <f t="shared" si="7"/>
        <v>82880.69</v>
      </c>
      <c r="Q36" s="22">
        <f t="shared" si="7"/>
        <v>74230</v>
      </c>
      <c r="R36" s="22">
        <f t="shared" si="7"/>
        <v>14934</v>
      </c>
      <c r="S36" s="22">
        <f t="shared" si="7"/>
        <v>14936</v>
      </c>
      <c r="T36" s="22">
        <f t="shared" si="7"/>
        <v>924</v>
      </c>
      <c r="U36" s="22">
        <f t="shared" si="7"/>
        <v>3599</v>
      </c>
      <c r="V36" s="22">
        <f t="shared" si="7"/>
        <v>463.5</v>
      </c>
      <c r="W36" s="22">
        <f t="shared" si="7"/>
        <v>18711.099999999999</v>
      </c>
      <c r="X36" s="22">
        <f t="shared" si="7"/>
        <v>223829.7</v>
      </c>
      <c r="Y36" s="22">
        <f t="shared" si="7"/>
        <v>7941.59</v>
      </c>
      <c r="Z36" s="22">
        <f t="shared" si="7"/>
        <v>131277.26999999999</v>
      </c>
      <c r="AA36" s="22">
        <f t="shared" si="7"/>
        <v>5756.05</v>
      </c>
      <c r="AB36" s="22">
        <f t="shared" si="7"/>
        <v>74550</v>
      </c>
      <c r="AC36" s="22">
        <f>SUM(AC34:AC35)</f>
        <v>10909.27</v>
      </c>
      <c r="AD36" s="22">
        <f t="shared" si="7"/>
        <v>112452.8</v>
      </c>
      <c r="AE36" s="22">
        <f t="shared" si="7"/>
        <v>1371048.87</v>
      </c>
      <c r="AF36" s="22">
        <f t="shared" si="7"/>
        <v>6177</v>
      </c>
      <c r="AG36" s="22">
        <f t="shared" si="7"/>
        <v>560</v>
      </c>
      <c r="AH36" s="22">
        <f t="shared" si="7"/>
        <v>1959</v>
      </c>
      <c r="AI36" s="22">
        <f t="shared" si="7"/>
        <v>1472</v>
      </c>
      <c r="AJ36" s="22">
        <f t="shared" si="7"/>
        <v>16222</v>
      </c>
      <c r="AK36" s="22">
        <f t="shared" si="7"/>
        <v>500</v>
      </c>
      <c r="AL36" s="22">
        <f t="shared" si="7"/>
        <v>8086.03</v>
      </c>
      <c r="AM36" s="22">
        <f t="shared" si="7"/>
        <v>34976.03</v>
      </c>
      <c r="AN36" s="22">
        <f t="shared" si="7"/>
        <v>1406024.9000000001</v>
      </c>
    </row>
    <row r="37" spans="1:40" ht="19.5" x14ac:dyDescent="0.3">
      <c r="A37" s="15"/>
      <c r="B37" s="15" t="s">
        <v>77</v>
      </c>
      <c r="C37" s="22">
        <f>+C25+C31+C32+C36</f>
        <v>549662.55000000005</v>
      </c>
      <c r="D37" s="22">
        <f t="shared" ref="D37:AN37" si="8">+D25+D31+D32+D36</f>
        <v>2674.95</v>
      </c>
      <c r="E37" s="22">
        <f t="shared" si="8"/>
        <v>88872</v>
      </c>
      <c r="F37" s="22">
        <f t="shared" si="8"/>
        <v>117250.2</v>
      </c>
      <c r="G37" s="22">
        <f t="shared" si="8"/>
        <v>66097</v>
      </c>
      <c r="H37" s="22">
        <f t="shared" si="8"/>
        <v>12861.2</v>
      </c>
      <c r="I37" s="22">
        <f t="shared" si="8"/>
        <v>146725.70000000001</v>
      </c>
      <c r="J37" s="22">
        <f t="shared" si="8"/>
        <v>107017</v>
      </c>
      <c r="K37" s="22">
        <f t="shared" si="8"/>
        <v>17191</v>
      </c>
      <c r="L37" s="22">
        <f t="shared" si="8"/>
        <v>5806.84</v>
      </c>
      <c r="M37" s="22">
        <f t="shared" si="8"/>
        <v>170769</v>
      </c>
      <c r="N37" s="22">
        <f t="shared" si="8"/>
        <v>143265</v>
      </c>
      <c r="O37" s="22">
        <f t="shared" si="8"/>
        <v>44287</v>
      </c>
      <c r="P37" s="22">
        <f t="shared" si="8"/>
        <v>194596.24</v>
      </c>
      <c r="Q37" s="22">
        <f t="shared" si="8"/>
        <v>150356</v>
      </c>
      <c r="R37" s="22">
        <f t="shared" si="8"/>
        <v>16041</v>
      </c>
      <c r="S37" s="22">
        <f t="shared" si="8"/>
        <v>16601</v>
      </c>
      <c r="T37" s="22">
        <f t="shared" si="8"/>
        <v>4929.0300000000007</v>
      </c>
      <c r="U37" s="22">
        <f t="shared" si="8"/>
        <v>3849</v>
      </c>
      <c r="V37" s="22">
        <f t="shared" si="8"/>
        <v>40138.5</v>
      </c>
      <c r="W37" s="22">
        <f t="shared" si="8"/>
        <v>30290.899999999998</v>
      </c>
      <c r="X37" s="22">
        <f t="shared" si="8"/>
        <v>325642.62</v>
      </c>
      <c r="Y37" s="22">
        <f t="shared" si="8"/>
        <v>47035.39</v>
      </c>
      <c r="Z37" s="22">
        <f t="shared" si="8"/>
        <v>415562.92000000004</v>
      </c>
      <c r="AA37" s="22">
        <f t="shared" si="8"/>
        <v>12064.689999999999</v>
      </c>
      <c r="AB37" s="22">
        <f t="shared" si="8"/>
        <v>152675</v>
      </c>
      <c r="AC37" s="22">
        <f t="shared" si="8"/>
        <v>70662.23</v>
      </c>
      <c r="AD37" s="22">
        <f t="shared" si="8"/>
        <v>158726.54999999999</v>
      </c>
      <c r="AE37" s="22">
        <f t="shared" si="8"/>
        <v>3111650.5100000002</v>
      </c>
      <c r="AF37" s="22">
        <f t="shared" si="8"/>
        <v>6799</v>
      </c>
      <c r="AG37" s="22">
        <f t="shared" si="8"/>
        <v>560</v>
      </c>
      <c r="AH37" s="22">
        <f t="shared" si="8"/>
        <v>2888</v>
      </c>
      <c r="AI37" s="22">
        <f t="shared" si="8"/>
        <v>1522</v>
      </c>
      <c r="AJ37" s="22">
        <f t="shared" si="8"/>
        <v>16222</v>
      </c>
      <c r="AK37" s="22">
        <f t="shared" si="8"/>
        <v>650</v>
      </c>
      <c r="AL37" s="22">
        <f t="shared" si="8"/>
        <v>8141.03</v>
      </c>
      <c r="AM37" s="22">
        <f t="shared" si="8"/>
        <v>36782.03</v>
      </c>
      <c r="AN37" s="22">
        <f t="shared" si="8"/>
        <v>3148432.54</v>
      </c>
    </row>
    <row r="38" spans="1:40" ht="19.5" x14ac:dyDescent="0.3">
      <c r="A38" s="18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5"/>
      <c r="R38" s="25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9.5" x14ac:dyDescent="0.3">
      <c r="A39" s="15" t="s">
        <v>78</v>
      </c>
      <c r="B39" s="15" t="s">
        <v>79</v>
      </c>
      <c r="C39" s="22">
        <v>1500</v>
      </c>
      <c r="D39" s="22">
        <v>14686.5</v>
      </c>
      <c r="E39" s="22">
        <v>143174</v>
      </c>
      <c r="F39" s="22">
        <v>168550</v>
      </c>
      <c r="G39" s="22">
        <v>76146</v>
      </c>
      <c r="H39" s="22">
        <v>1143.99</v>
      </c>
      <c r="I39" s="22">
        <v>16144.7</v>
      </c>
      <c r="J39" s="22">
        <v>3300</v>
      </c>
      <c r="K39" s="22">
        <v>2200</v>
      </c>
      <c r="L39" s="22">
        <v>212433.79</v>
      </c>
      <c r="M39" s="22">
        <v>114744</v>
      </c>
      <c r="N39" s="22">
        <v>58273</v>
      </c>
      <c r="O39" s="22">
        <v>28430</v>
      </c>
      <c r="P39" s="22">
        <v>107525</v>
      </c>
      <c r="Q39" s="22">
        <v>18282</v>
      </c>
      <c r="R39" s="22">
        <f>3346+4393</f>
        <v>7739</v>
      </c>
      <c r="S39" s="22">
        <f>4619+4144</f>
        <v>8763</v>
      </c>
      <c r="T39" s="22">
        <v>9421</v>
      </c>
      <c r="U39" s="22">
        <v>23902</v>
      </c>
      <c r="V39" s="22">
        <v>176951</v>
      </c>
      <c r="W39" s="22">
        <v>0</v>
      </c>
      <c r="X39" s="22">
        <v>18299.990000000002</v>
      </c>
      <c r="Y39" s="22">
        <v>4253</v>
      </c>
      <c r="Z39" s="22">
        <v>19392</v>
      </c>
      <c r="AA39" s="22">
        <v>14739</v>
      </c>
      <c r="AB39" s="22">
        <v>115565</v>
      </c>
      <c r="AC39" s="22">
        <v>0</v>
      </c>
      <c r="AD39" s="22">
        <f>168641.95</f>
        <v>168641.95</v>
      </c>
      <c r="AE39" s="22">
        <f>+C39+D39+E39+F39+G39+H39+I39+J39+K39+L39+M39+N39+O39+P39+Q39+R39+S39+T39+U39+V39+W39+X39+Y39+Z39+AA39+AB39+AC39+AD39</f>
        <v>1534199.92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>SUM(AF39:AL39)</f>
        <v>0</v>
      </c>
      <c r="AN39" s="22">
        <f>+AM39+AE39</f>
        <v>1534199.92</v>
      </c>
    </row>
    <row r="40" spans="1:40" ht="19.5" x14ac:dyDescent="0.3">
      <c r="A40" s="18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5"/>
      <c r="R40" s="25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9.5" x14ac:dyDescent="0.3">
      <c r="A41" s="15" t="s">
        <v>80</v>
      </c>
      <c r="B41" s="15" t="s">
        <v>81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5"/>
      <c r="R41" s="25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9.5" x14ac:dyDescent="0.3">
      <c r="A42" s="18"/>
      <c r="B42" s="18" t="s">
        <v>82</v>
      </c>
      <c r="C42" s="20">
        <v>1179282.6399999999</v>
      </c>
      <c r="D42" s="17">
        <v>3657</v>
      </c>
      <c r="E42" s="17">
        <v>21267</v>
      </c>
      <c r="F42" s="17">
        <v>110192.39</v>
      </c>
      <c r="G42" s="17">
        <f>25624+90000</f>
        <v>115624</v>
      </c>
      <c r="H42" s="17">
        <v>7296.32</v>
      </c>
      <c r="I42" s="17">
        <f>900000+122840.7</f>
        <v>1022840.7</v>
      </c>
      <c r="J42" s="17">
        <v>68000</v>
      </c>
      <c r="K42" s="17">
        <v>7230</v>
      </c>
      <c r="L42" s="17">
        <v>14268.2</v>
      </c>
      <c r="M42" s="17">
        <f>50700+93671+28729</f>
        <v>173100</v>
      </c>
      <c r="N42" s="17">
        <v>610794</v>
      </c>
      <c r="O42" s="26">
        <v>31183</v>
      </c>
      <c r="P42" s="26">
        <v>265838.82</v>
      </c>
      <c r="Q42" s="20">
        <v>580249</v>
      </c>
      <c r="R42" s="20">
        <v>50600</v>
      </c>
      <c r="S42" s="17">
        <v>55</v>
      </c>
      <c r="T42" s="17">
        <v>1</v>
      </c>
      <c r="U42" s="17">
        <v>0</v>
      </c>
      <c r="V42" s="17">
        <v>139326.35</v>
      </c>
      <c r="W42" s="17">
        <v>36284</v>
      </c>
      <c r="X42" s="17">
        <v>66844.37</v>
      </c>
      <c r="Y42" s="17">
        <v>0</v>
      </c>
      <c r="Z42" s="17">
        <v>78130.350000000006</v>
      </c>
      <c r="AA42" s="17">
        <v>8497.3700000000008</v>
      </c>
      <c r="AB42" s="17">
        <v>266259</v>
      </c>
      <c r="AC42" s="17">
        <v>47118.92</v>
      </c>
      <c r="AD42" s="17">
        <v>10507.35</v>
      </c>
      <c r="AE42" s="17">
        <f>+C42+D42+E42+F42+G42+H42+I42+J42+K42+L42+M42+N42+O42+P42+Q42+R42+S42+T42+U42+V42+W42+X42+Y42+Z42+AA42+AB42+AC42+AD42</f>
        <v>4914446.7799999993</v>
      </c>
      <c r="AF42" s="17">
        <v>0</v>
      </c>
      <c r="AG42" s="17">
        <v>0</v>
      </c>
      <c r="AH42" s="17">
        <v>100</v>
      </c>
      <c r="AI42" s="17">
        <v>200</v>
      </c>
      <c r="AJ42" s="17">
        <v>0</v>
      </c>
      <c r="AK42" s="17"/>
      <c r="AL42" s="17">
        <v>0</v>
      </c>
      <c r="AM42" s="17">
        <f>SUM(AF42:AL42)</f>
        <v>300</v>
      </c>
      <c r="AN42" s="17">
        <f>+AM42+AE42</f>
        <v>4914746.7799999993</v>
      </c>
    </row>
    <row r="43" spans="1:40" ht="19.5" x14ac:dyDescent="0.3">
      <c r="A43" s="18"/>
      <c r="B43" s="18" t="s">
        <v>83</v>
      </c>
      <c r="C43" s="20">
        <v>281805.15000000002</v>
      </c>
      <c r="D43" s="17">
        <v>7000</v>
      </c>
      <c r="E43" s="17">
        <v>23525</v>
      </c>
      <c r="F43" s="17">
        <v>27667.599999999999</v>
      </c>
      <c r="G43" s="17">
        <v>87821</v>
      </c>
      <c r="H43" s="17">
        <v>6365</v>
      </c>
      <c r="I43" s="17">
        <v>137303.04999999999</v>
      </c>
      <c r="J43" s="17">
        <v>0</v>
      </c>
      <c r="K43" s="17">
        <v>15749</v>
      </c>
      <c r="L43" s="17">
        <v>2105.77</v>
      </c>
      <c r="M43" s="17">
        <v>3038</v>
      </c>
      <c r="N43" s="17">
        <v>109036</v>
      </c>
      <c r="O43" s="26">
        <v>9952</v>
      </c>
      <c r="P43" s="26">
        <v>66296.58</v>
      </c>
      <c r="Q43" s="20">
        <f>126023+46368</f>
        <v>172391</v>
      </c>
      <c r="R43" s="20">
        <v>10200</v>
      </c>
      <c r="S43" s="17">
        <v>10150</v>
      </c>
      <c r="T43" s="17">
        <v>11524.56</v>
      </c>
      <c r="U43" s="17">
        <v>0</v>
      </c>
      <c r="V43" s="17">
        <v>68575</v>
      </c>
      <c r="W43" s="17">
        <v>15080</v>
      </c>
      <c r="X43" s="17">
        <v>57738.59</v>
      </c>
      <c r="Y43" s="17">
        <v>1803.38</v>
      </c>
      <c r="Z43" s="17">
        <v>6548.45</v>
      </c>
      <c r="AA43" s="17">
        <v>1486.29</v>
      </c>
      <c r="AB43" s="17">
        <v>66415</v>
      </c>
      <c r="AC43" s="17">
        <v>24080.21</v>
      </c>
      <c r="AD43" s="17">
        <v>26589.02</v>
      </c>
      <c r="AE43" s="17">
        <f>+C43+D43+E43+F43+G43+H43+I43+J43+K43+L43+M43+N43+O43+P43+Q43+R43+S43+T43+U43+V43+W43+X43+Y43+Z43+AA43+AB43+AC43+AD43</f>
        <v>1250245.6499999999</v>
      </c>
      <c r="AF43" s="17">
        <v>331</v>
      </c>
      <c r="AG43" s="17">
        <v>16</v>
      </c>
      <c r="AH43" s="17">
        <v>1501</v>
      </c>
      <c r="AI43" s="17">
        <v>50</v>
      </c>
      <c r="AJ43" s="17">
        <v>5</v>
      </c>
      <c r="AK43" s="17"/>
      <c r="AL43" s="17">
        <v>3187.01</v>
      </c>
      <c r="AM43" s="17">
        <f>SUM(AF43:AL43)</f>
        <v>5090.01</v>
      </c>
      <c r="AN43" s="17">
        <f>+AM43+AE43</f>
        <v>1255335.6599999999</v>
      </c>
    </row>
    <row r="44" spans="1:40" ht="19.5" x14ac:dyDescent="0.3">
      <c r="A44" s="18"/>
      <c r="B44" s="18" t="s">
        <v>84</v>
      </c>
      <c r="C44" s="20">
        <v>4144.91</v>
      </c>
      <c r="D44" s="17">
        <v>200</v>
      </c>
      <c r="E44" s="17">
        <v>2933</v>
      </c>
      <c r="F44" s="17">
        <v>11000</v>
      </c>
      <c r="G44" s="17">
        <v>4905</v>
      </c>
      <c r="H44" s="17">
        <v>3715</v>
      </c>
      <c r="I44" s="17">
        <v>1642.15</v>
      </c>
      <c r="J44" s="17">
        <v>10000</v>
      </c>
      <c r="K44" s="17">
        <v>1000</v>
      </c>
      <c r="L44" s="17">
        <v>5610.23</v>
      </c>
      <c r="M44" s="17">
        <v>300</v>
      </c>
      <c r="N44" s="17">
        <v>38400</v>
      </c>
      <c r="O44" s="26">
        <v>400</v>
      </c>
      <c r="P44" s="26">
        <v>3449.88</v>
      </c>
      <c r="Q44" s="20">
        <f>4403+0</f>
        <v>4403</v>
      </c>
      <c r="R44" s="20">
        <v>4100</v>
      </c>
      <c r="S44" s="17">
        <f>100+3400+9000</f>
        <v>12500</v>
      </c>
      <c r="T44" s="17">
        <v>10</v>
      </c>
      <c r="U44" s="17">
        <v>300</v>
      </c>
      <c r="V44" s="17">
        <v>8800</v>
      </c>
      <c r="W44" s="17">
        <v>30000</v>
      </c>
      <c r="X44" s="17">
        <v>8879.16</v>
      </c>
      <c r="Y44" s="17">
        <v>0</v>
      </c>
      <c r="Z44" s="17">
        <v>890.15</v>
      </c>
      <c r="AA44" s="17">
        <v>50</v>
      </c>
      <c r="AB44" s="17">
        <v>28000</v>
      </c>
      <c r="AC44" s="17">
        <v>0</v>
      </c>
      <c r="AD44" s="17">
        <v>2400</v>
      </c>
      <c r="AE44" s="17">
        <f>+C44+D44+E44+F44+G44+H44+I44+J44+K44+L44+M44+N44+O44+P44+Q44+R44+S44+T44+U44+V44+W44+X44+Y44+Z44+AA44+AB44+AC44+AD44</f>
        <v>188032.47999999998</v>
      </c>
      <c r="AF44" s="17">
        <v>0</v>
      </c>
      <c r="AG44" s="17">
        <v>0</v>
      </c>
      <c r="AH44" s="17">
        <v>150</v>
      </c>
      <c r="AI44" s="17">
        <v>0</v>
      </c>
      <c r="AJ44" s="17">
        <v>0</v>
      </c>
      <c r="AK44" s="17"/>
      <c r="AL44" s="20">
        <v>0</v>
      </c>
      <c r="AM44" s="17">
        <f>SUM(AF44:AL44)</f>
        <v>150</v>
      </c>
      <c r="AN44" s="17">
        <f>+AM44+AE44</f>
        <v>188182.47999999998</v>
      </c>
    </row>
    <row r="45" spans="1:40" ht="19.5" x14ac:dyDescent="0.3">
      <c r="A45" s="18"/>
      <c r="B45" s="18" t="s">
        <v>85</v>
      </c>
      <c r="C45" s="20">
        <v>32167.5</v>
      </c>
      <c r="D45" s="17">
        <v>6000</v>
      </c>
      <c r="E45" s="17">
        <f>110548.2+11591.1</f>
        <v>122139.3</v>
      </c>
      <c r="F45" s="17">
        <f>5160.53+98054.6</f>
        <v>103215.13</v>
      </c>
      <c r="G45" s="17">
        <v>275</v>
      </c>
      <c r="H45" s="26">
        <v>10063.040000000001</v>
      </c>
      <c r="I45" s="26">
        <v>8234.09</v>
      </c>
      <c r="J45" s="17">
        <v>8000</v>
      </c>
      <c r="K45" s="17">
        <v>7868</v>
      </c>
      <c r="L45" s="17">
        <v>13400</v>
      </c>
      <c r="M45" s="17">
        <f>1700+500</f>
        <v>2200</v>
      </c>
      <c r="N45" s="17">
        <v>1450</v>
      </c>
      <c r="O45" s="26">
        <v>5045</v>
      </c>
      <c r="P45" s="26">
        <v>1000</v>
      </c>
      <c r="Q45" s="20">
        <v>4386</v>
      </c>
      <c r="R45" s="20">
        <f>9800+860</f>
        <v>10660</v>
      </c>
      <c r="S45" s="17">
        <v>310</v>
      </c>
      <c r="T45" s="17">
        <v>0</v>
      </c>
      <c r="U45" s="17">
        <v>20000</v>
      </c>
      <c r="V45" s="17">
        <v>28400</v>
      </c>
      <c r="W45" s="17">
        <v>10900</v>
      </c>
      <c r="X45" s="17">
        <v>400</v>
      </c>
      <c r="Y45" s="17">
        <v>13100</v>
      </c>
      <c r="Z45" s="17">
        <v>913.82</v>
      </c>
      <c r="AA45" s="17">
        <v>10044.01</v>
      </c>
      <c r="AB45" s="17">
        <f>45144+100085</f>
        <v>145229</v>
      </c>
      <c r="AC45" s="17">
        <v>0</v>
      </c>
      <c r="AD45" s="17">
        <f>107400+46859.65</f>
        <v>154259.65</v>
      </c>
      <c r="AE45" s="17">
        <f>+C45+D45+E45+F45+G45+H45+I45+J45+K45+L45+M45+N45+O45+P45+Q45+R45+S45+T45+U45+V45+W45+X45+Y45+Z45+AA45+AB45+AC45+AD45</f>
        <v>719659.54</v>
      </c>
      <c r="AF45" s="17">
        <v>1360</v>
      </c>
      <c r="AG45" s="17">
        <v>0</v>
      </c>
      <c r="AH45" s="17">
        <v>0</v>
      </c>
      <c r="AI45" s="17">
        <v>750</v>
      </c>
      <c r="AJ45" s="17">
        <v>5495</v>
      </c>
      <c r="AK45" s="17">
        <v>500</v>
      </c>
      <c r="AL45" s="17">
        <v>3356.2</v>
      </c>
      <c r="AM45" s="17">
        <f>SUM(AF45:AL45)</f>
        <v>11461.2</v>
      </c>
      <c r="AN45" s="17">
        <f>+AM45+AE45</f>
        <v>731120.74</v>
      </c>
    </row>
    <row r="46" spans="1:40" ht="19.5" x14ac:dyDescent="0.3">
      <c r="A46" s="15"/>
      <c r="B46" s="15" t="s">
        <v>86</v>
      </c>
      <c r="C46" s="22">
        <f>SUM(C42:C45)</f>
        <v>1497400.2</v>
      </c>
      <c r="D46" s="22">
        <f t="shared" ref="D46:AN46" si="9">SUM(D42:D45)</f>
        <v>16857</v>
      </c>
      <c r="E46" s="22">
        <f t="shared" si="9"/>
        <v>169864.3</v>
      </c>
      <c r="F46" s="22">
        <f t="shared" si="9"/>
        <v>252075.12</v>
      </c>
      <c r="G46" s="22">
        <f t="shared" si="9"/>
        <v>208625</v>
      </c>
      <c r="H46" s="22">
        <f t="shared" si="9"/>
        <v>27439.360000000001</v>
      </c>
      <c r="I46" s="22">
        <f t="shared" si="9"/>
        <v>1170019.99</v>
      </c>
      <c r="J46" s="22">
        <f t="shared" si="9"/>
        <v>86000</v>
      </c>
      <c r="K46" s="22">
        <f t="shared" si="9"/>
        <v>31847</v>
      </c>
      <c r="L46" s="22">
        <f t="shared" si="9"/>
        <v>35384.199999999997</v>
      </c>
      <c r="M46" s="22">
        <f t="shared" si="9"/>
        <v>178638</v>
      </c>
      <c r="N46" s="22">
        <f t="shared" si="9"/>
        <v>759680</v>
      </c>
      <c r="O46" s="22">
        <f t="shared" si="9"/>
        <v>46580</v>
      </c>
      <c r="P46" s="22">
        <f t="shared" si="9"/>
        <v>336585.28</v>
      </c>
      <c r="Q46" s="22">
        <f t="shared" si="9"/>
        <v>761429</v>
      </c>
      <c r="R46" s="22">
        <f t="shared" si="9"/>
        <v>75560</v>
      </c>
      <c r="S46" s="22">
        <f t="shared" si="9"/>
        <v>23015</v>
      </c>
      <c r="T46" s="22">
        <f t="shared" si="9"/>
        <v>11535.56</v>
      </c>
      <c r="U46" s="22">
        <f t="shared" si="9"/>
        <v>20300</v>
      </c>
      <c r="V46" s="22">
        <f t="shared" si="9"/>
        <v>245101.35</v>
      </c>
      <c r="W46" s="22">
        <f t="shared" si="9"/>
        <v>92264</v>
      </c>
      <c r="X46" s="22">
        <f t="shared" si="9"/>
        <v>133862.12</v>
      </c>
      <c r="Y46" s="22">
        <f t="shared" si="9"/>
        <v>14903.380000000001</v>
      </c>
      <c r="Z46" s="22">
        <f t="shared" si="9"/>
        <v>86482.77</v>
      </c>
      <c r="AA46" s="22">
        <f t="shared" si="9"/>
        <v>20077.669999999998</v>
      </c>
      <c r="AB46" s="22">
        <f t="shared" si="9"/>
        <v>505903</v>
      </c>
      <c r="AC46" s="22">
        <f t="shared" si="9"/>
        <v>71199.13</v>
      </c>
      <c r="AD46" s="22">
        <f t="shared" si="9"/>
        <v>193756.02</v>
      </c>
      <c r="AE46" s="22">
        <f t="shared" si="9"/>
        <v>7072384.4500000002</v>
      </c>
      <c r="AF46" s="22">
        <f t="shared" si="9"/>
        <v>1691</v>
      </c>
      <c r="AG46" s="22">
        <f t="shared" si="9"/>
        <v>16</v>
      </c>
      <c r="AH46" s="22">
        <f t="shared" si="9"/>
        <v>1751</v>
      </c>
      <c r="AI46" s="22">
        <f t="shared" si="9"/>
        <v>1000</v>
      </c>
      <c r="AJ46" s="22">
        <f t="shared" si="9"/>
        <v>5500</v>
      </c>
      <c r="AK46" s="22">
        <f t="shared" si="9"/>
        <v>500</v>
      </c>
      <c r="AL46" s="22">
        <f t="shared" si="9"/>
        <v>6543.21</v>
      </c>
      <c r="AM46" s="22">
        <f t="shared" si="9"/>
        <v>17001.21</v>
      </c>
      <c r="AN46" s="22">
        <f t="shared" si="9"/>
        <v>7089385.6600000001</v>
      </c>
    </row>
    <row r="47" spans="1:40" ht="19.5" x14ac:dyDescent="0.3">
      <c r="A47" s="18"/>
      <c r="B47" s="18"/>
      <c r="C47" s="16"/>
      <c r="D47" s="17"/>
      <c r="E47" s="17"/>
      <c r="F47" s="22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20"/>
      <c r="R47" s="20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9.5" x14ac:dyDescent="0.3">
      <c r="A48" s="15" t="s">
        <v>87</v>
      </c>
      <c r="B48" s="15" t="s">
        <v>88</v>
      </c>
      <c r="C48" s="22">
        <f>41531.8+10</f>
        <v>41541.800000000003</v>
      </c>
      <c r="D48" s="22">
        <v>23299.1</v>
      </c>
      <c r="E48" s="22">
        <v>34864.300000000003</v>
      </c>
      <c r="F48" s="22">
        <v>186786.6</v>
      </c>
      <c r="G48" s="22">
        <v>126356</v>
      </c>
      <c r="H48" s="22">
        <v>30280</v>
      </c>
      <c r="I48" s="22">
        <v>379036</v>
      </c>
      <c r="J48" s="22">
        <f>135668+242</f>
        <v>135910</v>
      </c>
      <c r="K48" s="22">
        <v>53192</v>
      </c>
      <c r="L48" s="22">
        <v>45407.97</v>
      </c>
      <c r="M48" s="22">
        <v>117800</v>
      </c>
      <c r="N48" s="22">
        <v>482255</v>
      </c>
      <c r="O48" s="22">
        <v>116541</v>
      </c>
      <c r="P48" s="22">
        <v>274987.11</v>
      </c>
      <c r="Q48" s="22">
        <v>306254</v>
      </c>
      <c r="R48" s="22">
        <f>13500+50</f>
        <v>13550</v>
      </c>
      <c r="S48" s="22">
        <v>51780</v>
      </c>
      <c r="T48" s="22">
        <v>9709.14</v>
      </c>
      <c r="U48" s="22">
        <v>11210</v>
      </c>
      <c r="V48" s="22">
        <v>250925</v>
      </c>
      <c r="W48" s="22">
        <v>331349</v>
      </c>
      <c r="X48" s="22">
        <v>1272604.6399999999</v>
      </c>
      <c r="Y48" s="22">
        <v>4113.26</v>
      </c>
      <c r="Z48" s="22">
        <v>151720.34</v>
      </c>
      <c r="AA48" s="22">
        <v>2495.9</v>
      </c>
      <c r="AB48" s="22">
        <v>395180</v>
      </c>
      <c r="AC48" s="22">
        <v>61222.93</v>
      </c>
      <c r="AD48" s="22">
        <v>346057</v>
      </c>
      <c r="AE48" s="22">
        <f>+C48+D48+E48+F48+G48+H48+I48+J48+K48+L48+M48+N48+O48+P48+Q48+R48+S48+T48+U48+V48+W48+X48+Y48+Z48+AA48+AB48+AC48+AD48</f>
        <v>5256428.09</v>
      </c>
      <c r="AF48" s="22">
        <v>5870</v>
      </c>
      <c r="AG48" s="22">
        <v>3375</v>
      </c>
      <c r="AH48" s="22">
        <v>16949</v>
      </c>
      <c r="AI48" s="22">
        <v>6700</v>
      </c>
      <c r="AJ48" s="22">
        <v>85961</v>
      </c>
      <c r="AK48" s="22">
        <v>1800</v>
      </c>
      <c r="AL48" s="22">
        <v>9801.39</v>
      </c>
      <c r="AM48" s="22">
        <f>SUM(AF48:AL48)</f>
        <v>130456.39</v>
      </c>
      <c r="AN48" s="22">
        <f>+AM48+AE48</f>
        <v>5386884.4799999995</v>
      </c>
    </row>
    <row r="49" spans="1:40" ht="19.5" x14ac:dyDescent="0.3">
      <c r="A49" s="15"/>
      <c r="B49" s="15"/>
      <c r="C49" s="17"/>
      <c r="D49" s="17"/>
      <c r="E49" s="17"/>
      <c r="F49" s="22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23"/>
      <c r="R49" s="23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9.5" x14ac:dyDescent="0.3">
      <c r="A50" s="15" t="s">
        <v>89</v>
      </c>
      <c r="B50" s="15" t="s">
        <v>90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3"/>
      <c r="R50" s="23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9.5" x14ac:dyDescent="0.3">
      <c r="A51" s="18"/>
      <c r="B51" s="18" t="s">
        <v>91</v>
      </c>
      <c r="C51" s="20">
        <v>54067.54</v>
      </c>
      <c r="D51" s="17">
        <v>1463.97</v>
      </c>
      <c r="E51" s="17">
        <f>3760+3000+1009+1907</f>
        <v>9676</v>
      </c>
      <c r="F51" s="17">
        <v>13618.48</v>
      </c>
      <c r="G51" s="17">
        <v>3487</v>
      </c>
      <c r="H51" s="17">
        <v>4322.8500000000004</v>
      </c>
      <c r="I51" s="17">
        <v>16500</v>
      </c>
      <c r="J51" s="17">
        <v>6050</v>
      </c>
      <c r="K51" s="17">
        <v>3391</v>
      </c>
      <c r="L51" s="17">
        <v>5537.2</v>
      </c>
      <c r="M51" s="17">
        <v>9730</v>
      </c>
      <c r="N51" s="17">
        <v>36164</v>
      </c>
      <c r="O51" s="17">
        <v>30492</v>
      </c>
      <c r="P51" s="17">
        <v>15843.83</v>
      </c>
      <c r="Q51" s="20">
        <v>11941</v>
      </c>
      <c r="R51" s="20">
        <v>2700</v>
      </c>
      <c r="S51" s="17">
        <v>1200</v>
      </c>
      <c r="T51" s="17">
        <f>7682.75+1605</f>
        <v>9287.75</v>
      </c>
      <c r="U51" s="17">
        <v>4097</v>
      </c>
      <c r="V51" s="17">
        <v>8960</v>
      </c>
      <c r="W51" s="17">
        <v>5415</v>
      </c>
      <c r="X51" s="17">
        <v>4362.7299999999996</v>
      </c>
      <c r="Y51" s="17">
        <v>945.58</v>
      </c>
      <c r="Z51" s="17">
        <v>48097.79</v>
      </c>
      <c r="AA51" s="17">
        <v>1807.1</v>
      </c>
      <c r="AB51" s="17">
        <v>11528</v>
      </c>
      <c r="AC51" s="17">
        <v>3541.89</v>
      </c>
      <c r="AD51" s="17">
        <v>27473</v>
      </c>
      <c r="AE51" s="17">
        <f>+C51+D51+E51+F51+G51+H51+I51+J51+K51+L51+M51+N51+O51+P51+Q51+R51+S51+T51+U51+V51+W51+X51+Y51+Z51+AA51+AB51+AC51+AD51</f>
        <v>351700.70999999996</v>
      </c>
      <c r="AF51" s="17">
        <v>690</v>
      </c>
      <c r="AG51" s="17">
        <v>0</v>
      </c>
      <c r="AH51" s="17">
        <v>449</v>
      </c>
      <c r="AI51" s="17">
        <v>299</v>
      </c>
      <c r="AJ51" s="17">
        <v>6460</v>
      </c>
      <c r="AK51" s="17">
        <v>350</v>
      </c>
      <c r="AL51" s="17">
        <v>2869</v>
      </c>
      <c r="AM51" s="17">
        <f>SUM(AF51:AL51)</f>
        <v>11117</v>
      </c>
      <c r="AN51" s="17">
        <f>+AM51+AE51</f>
        <v>362817.70999999996</v>
      </c>
    </row>
    <row r="52" spans="1:40" ht="19.5" x14ac:dyDescent="0.3">
      <c r="A52" s="18"/>
      <c r="B52" s="18" t="s">
        <v>92</v>
      </c>
      <c r="C52" s="20">
        <v>24342</v>
      </c>
      <c r="D52" s="17">
        <f>125+621</f>
        <v>746</v>
      </c>
      <c r="E52" s="17">
        <v>7040</v>
      </c>
      <c r="F52" s="17">
        <v>33626.18</v>
      </c>
      <c r="G52" s="17">
        <v>12110</v>
      </c>
      <c r="H52" s="17">
        <f>500+270</f>
        <v>770</v>
      </c>
      <c r="I52" s="17">
        <v>227690</v>
      </c>
      <c r="J52" s="17">
        <v>66</v>
      </c>
      <c r="K52" s="17">
        <v>300</v>
      </c>
      <c r="L52" s="17">
        <v>5620</v>
      </c>
      <c r="M52" s="17">
        <v>9270</v>
      </c>
      <c r="N52" s="17">
        <v>30760</v>
      </c>
      <c r="O52" s="17">
        <v>24067</v>
      </c>
      <c r="P52" s="17">
        <v>50282.32</v>
      </c>
      <c r="Q52" s="20">
        <v>22413</v>
      </c>
      <c r="R52" s="20">
        <v>30</v>
      </c>
      <c r="S52" s="17">
        <f>2375+945</f>
        <v>3320</v>
      </c>
      <c r="T52" s="17">
        <v>10</v>
      </c>
      <c r="U52" s="17">
        <v>500</v>
      </c>
      <c r="V52" s="17">
        <f>620.6+203</f>
        <v>823.6</v>
      </c>
      <c r="W52" s="17">
        <v>0</v>
      </c>
      <c r="X52" s="17">
        <v>4461.99</v>
      </c>
      <c r="Y52" s="17">
        <v>0</v>
      </c>
      <c r="Z52" s="17">
        <v>2390.09</v>
      </c>
      <c r="AA52" s="17">
        <v>2271</v>
      </c>
      <c r="AB52" s="17">
        <v>496259</v>
      </c>
      <c r="AC52" s="17">
        <v>5</v>
      </c>
      <c r="AD52" s="17">
        <v>57284.23</v>
      </c>
      <c r="AE52" s="17">
        <f>+C52+D52+E52+F52+G52+H52+I52+J52+K52+L52+M52+N52+O52+P52+Q52+R52+S52+T52+U52+V52+W52+X52+Y52+Z52+AA52+AB52+AC52+AD52</f>
        <v>1016457.4099999999</v>
      </c>
      <c r="AF52" s="17">
        <v>0</v>
      </c>
      <c r="AG52" s="17">
        <v>90</v>
      </c>
      <c r="AH52" s="17">
        <v>0</v>
      </c>
      <c r="AI52" s="17">
        <v>201</v>
      </c>
      <c r="AJ52" s="17">
        <v>440</v>
      </c>
      <c r="AK52" s="17">
        <v>0</v>
      </c>
      <c r="AL52" s="17">
        <v>8096</v>
      </c>
      <c r="AM52" s="17">
        <f>SUM(AF52:AL52)</f>
        <v>8827</v>
      </c>
      <c r="AN52" s="17">
        <f>+AM52+AE52</f>
        <v>1025284.4099999999</v>
      </c>
    </row>
    <row r="53" spans="1:40" ht="19.5" x14ac:dyDescent="0.3">
      <c r="A53" s="18"/>
      <c r="B53" s="18" t="s">
        <v>93</v>
      </c>
      <c r="C53" s="20">
        <v>0</v>
      </c>
      <c r="D53" s="17">
        <v>331</v>
      </c>
      <c r="E53" s="17">
        <v>100</v>
      </c>
      <c r="F53" s="17">
        <v>0</v>
      </c>
      <c r="G53" s="17">
        <v>11250</v>
      </c>
      <c r="H53" s="17">
        <v>600</v>
      </c>
      <c r="I53" s="17">
        <v>3167</v>
      </c>
      <c r="J53" s="17">
        <v>110</v>
      </c>
      <c r="K53" s="17">
        <v>6</v>
      </c>
      <c r="L53" s="17">
        <v>1426</v>
      </c>
      <c r="M53" s="17">
        <f>263.5+136.5</f>
        <v>400</v>
      </c>
      <c r="N53" s="17">
        <v>1770</v>
      </c>
      <c r="O53" s="17">
        <v>211</v>
      </c>
      <c r="P53" s="17">
        <v>1200</v>
      </c>
      <c r="Q53" s="20">
        <v>911</v>
      </c>
      <c r="R53" s="20">
        <f>500+20</f>
        <v>520</v>
      </c>
      <c r="S53" s="17">
        <v>350</v>
      </c>
      <c r="T53" s="17">
        <v>86.8</v>
      </c>
      <c r="U53" s="17">
        <v>1050</v>
      </c>
      <c r="V53" s="17">
        <v>183</v>
      </c>
      <c r="W53" s="17">
        <v>0</v>
      </c>
      <c r="X53" s="17">
        <v>14289.04</v>
      </c>
      <c r="Y53" s="17">
        <v>101</v>
      </c>
      <c r="Z53" s="17">
        <v>64.95</v>
      </c>
      <c r="AA53" s="17">
        <v>0</v>
      </c>
      <c r="AB53" s="17">
        <v>0</v>
      </c>
      <c r="AC53" s="17">
        <v>0</v>
      </c>
      <c r="AD53" s="17">
        <v>176.26</v>
      </c>
      <c r="AE53" s="17">
        <f>+C53+D53+E53+F53+G53+H53+I53+J53+K53+L53+M53+N53+O53+P53+Q53+R53+S53+T53+U53+V53+W53+X53+Y53+Z53+AA53+AB53+AC53+AD53</f>
        <v>38303.049999999996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f>SUM(AF53:AL53)</f>
        <v>0</v>
      </c>
      <c r="AN53" s="17">
        <f>+AM53+AE53</f>
        <v>38303.049999999996</v>
      </c>
    </row>
    <row r="54" spans="1:40" ht="19.5" x14ac:dyDescent="0.3">
      <c r="A54" s="15"/>
      <c r="B54" s="15" t="s">
        <v>94</v>
      </c>
      <c r="C54" s="22">
        <f t="shared" ref="C54:AN54" si="10">SUM(C51:C53)</f>
        <v>78409.540000000008</v>
      </c>
      <c r="D54" s="22">
        <f t="shared" si="10"/>
        <v>2540.9700000000003</v>
      </c>
      <c r="E54" s="22">
        <f t="shared" si="10"/>
        <v>16816</v>
      </c>
      <c r="F54" s="22">
        <f t="shared" si="10"/>
        <v>47244.66</v>
      </c>
      <c r="G54" s="22">
        <f t="shared" si="10"/>
        <v>26847</v>
      </c>
      <c r="H54" s="22">
        <f t="shared" si="10"/>
        <v>5692.85</v>
      </c>
      <c r="I54" s="22">
        <f t="shared" si="10"/>
        <v>247357</v>
      </c>
      <c r="J54" s="22">
        <f t="shared" si="10"/>
        <v>6226</v>
      </c>
      <c r="K54" s="22">
        <f t="shared" si="10"/>
        <v>3697</v>
      </c>
      <c r="L54" s="22">
        <f t="shared" si="10"/>
        <v>12583.2</v>
      </c>
      <c r="M54" s="22">
        <f t="shared" si="10"/>
        <v>19400</v>
      </c>
      <c r="N54" s="22">
        <f t="shared" si="10"/>
        <v>68694</v>
      </c>
      <c r="O54" s="22">
        <f t="shared" si="10"/>
        <v>54770</v>
      </c>
      <c r="P54" s="22">
        <f t="shared" si="10"/>
        <v>67326.149999999994</v>
      </c>
      <c r="Q54" s="22">
        <f t="shared" si="10"/>
        <v>35265</v>
      </c>
      <c r="R54" s="22">
        <f t="shared" si="10"/>
        <v>3250</v>
      </c>
      <c r="S54" s="22">
        <f t="shared" si="10"/>
        <v>4870</v>
      </c>
      <c r="T54" s="22">
        <f t="shared" si="10"/>
        <v>9384.5499999999993</v>
      </c>
      <c r="U54" s="22">
        <f t="shared" si="10"/>
        <v>5647</v>
      </c>
      <c r="V54" s="22">
        <f t="shared" si="10"/>
        <v>9966.6</v>
      </c>
      <c r="W54" s="22">
        <f t="shared" si="10"/>
        <v>5415</v>
      </c>
      <c r="X54" s="22">
        <f t="shared" si="10"/>
        <v>23113.760000000002</v>
      </c>
      <c r="Y54" s="22">
        <f t="shared" si="10"/>
        <v>1046.58</v>
      </c>
      <c r="Z54" s="22">
        <f t="shared" si="10"/>
        <v>50552.83</v>
      </c>
      <c r="AA54" s="22">
        <f t="shared" si="10"/>
        <v>4078.1</v>
      </c>
      <c r="AB54" s="22">
        <f t="shared" si="10"/>
        <v>507787</v>
      </c>
      <c r="AC54" s="22">
        <f t="shared" si="10"/>
        <v>3546.89</v>
      </c>
      <c r="AD54" s="22">
        <f t="shared" si="10"/>
        <v>84933.49</v>
      </c>
      <c r="AE54" s="22">
        <f t="shared" si="10"/>
        <v>1406461.17</v>
      </c>
      <c r="AF54" s="22">
        <f t="shared" si="10"/>
        <v>690</v>
      </c>
      <c r="AG54" s="22">
        <f t="shared" si="10"/>
        <v>90</v>
      </c>
      <c r="AH54" s="22">
        <f t="shared" si="10"/>
        <v>449</v>
      </c>
      <c r="AI54" s="22">
        <f t="shared" si="10"/>
        <v>500</v>
      </c>
      <c r="AJ54" s="22">
        <f t="shared" si="10"/>
        <v>6900</v>
      </c>
      <c r="AK54" s="22">
        <f t="shared" si="10"/>
        <v>350</v>
      </c>
      <c r="AL54" s="22">
        <f t="shared" si="10"/>
        <v>10965</v>
      </c>
      <c r="AM54" s="22">
        <f t="shared" si="10"/>
        <v>19944</v>
      </c>
      <c r="AN54" s="22">
        <f t="shared" si="10"/>
        <v>1426405.17</v>
      </c>
    </row>
    <row r="55" spans="1:40" ht="19.5" x14ac:dyDescent="0.3">
      <c r="A55" s="15"/>
      <c r="B55" s="15"/>
      <c r="C55" s="16"/>
      <c r="D55" s="17"/>
      <c r="E55" s="17"/>
      <c r="F55" s="22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0"/>
      <c r="R55" s="20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9.5" x14ac:dyDescent="0.3">
      <c r="A56" s="15" t="s">
        <v>95</v>
      </c>
      <c r="B56" s="15" t="s">
        <v>96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20"/>
      <c r="R56" s="20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9.5" x14ac:dyDescent="0.3">
      <c r="A57" s="18"/>
      <c r="B57" s="18" t="s">
        <v>97</v>
      </c>
      <c r="C57" s="20">
        <v>2000</v>
      </c>
      <c r="D57" s="17">
        <v>0</v>
      </c>
      <c r="E57" s="17">
        <f>76510+9360.9+16560+360+800</f>
        <v>103590.9</v>
      </c>
      <c r="F57" s="17">
        <v>0</v>
      </c>
      <c r="G57" s="17">
        <v>0</v>
      </c>
      <c r="H57" s="17">
        <v>250</v>
      </c>
      <c r="I57" s="17">
        <v>35600</v>
      </c>
      <c r="J57" s="17">
        <v>0</v>
      </c>
      <c r="K57" s="17">
        <v>0</v>
      </c>
      <c r="L57" s="17">
        <v>0</v>
      </c>
      <c r="M57" s="17">
        <v>0</v>
      </c>
      <c r="N57" s="17">
        <v>7300</v>
      </c>
      <c r="O57" s="17">
        <v>27759</v>
      </c>
      <c r="P57" s="17">
        <v>0</v>
      </c>
      <c r="Q57" s="20">
        <v>11192</v>
      </c>
      <c r="R57" s="20">
        <v>0</v>
      </c>
      <c r="S57" s="17">
        <v>0</v>
      </c>
      <c r="T57" s="17">
        <v>0</v>
      </c>
      <c r="U57" s="17">
        <v>0</v>
      </c>
      <c r="V57" s="17">
        <v>455</v>
      </c>
      <c r="W57" s="17">
        <v>0</v>
      </c>
      <c r="X57" s="17">
        <v>0</v>
      </c>
      <c r="Y57" s="17">
        <v>0</v>
      </c>
      <c r="Z57" s="17">
        <v>0.03</v>
      </c>
      <c r="AA57" s="17">
        <v>0</v>
      </c>
      <c r="AB57" s="17">
        <v>0</v>
      </c>
      <c r="AC57" s="17">
        <v>0</v>
      </c>
      <c r="AD57" s="17">
        <v>0</v>
      </c>
      <c r="AE57" s="17">
        <f t="shared" ref="AE57:AE62" si="11">+C57+D57+E57+F57+G57+H57+I57+J57+K57+L57+M57+N57+O57+P57+Q57+R57+S57+T57+U57+V57+W57+X57+Y57+Z57+AA57+AB57+AC57+AD57</f>
        <v>188146.93</v>
      </c>
      <c r="AF57" s="17">
        <v>4703</v>
      </c>
      <c r="AG57" s="17">
        <v>0</v>
      </c>
      <c r="AH57" s="17">
        <v>0</v>
      </c>
      <c r="AI57" s="17">
        <v>8000</v>
      </c>
      <c r="AJ57" s="17">
        <v>0</v>
      </c>
      <c r="AK57" s="17">
        <v>9000</v>
      </c>
      <c r="AL57" s="17">
        <v>400</v>
      </c>
      <c r="AM57" s="17">
        <f t="shared" ref="AM57:AM62" si="12">SUM(AF57:AL57)</f>
        <v>22103</v>
      </c>
      <c r="AN57" s="17">
        <f t="shared" ref="AN57:AN62" si="13">+AM57+AE57</f>
        <v>210249.93</v>
      </c>
    </row>
    <row r="58" spans="1:40" ht="19.5" x14ac:dyDescent="0.3">
      <c r="A58" s="18"/>
      <c r="B58" s="18" t="s">
        <v>98</v>
      </c>
      <c r="C58" s="20">
        <v>7400</v>
      </c>
      <c r="D58" s="17">
        <v>260</v>
      </c>
      <c r="E58" s="17">
        <v>0</v>
      </c>
      <c r="F58" s="17">
        <v>870.5</v>
      </c>
      <c r="G58" s="17">
        <v>2500</v>
      </c>
      <c r="H58" s="17">
        <v>1053.5999999999999</v>
      </c>
      <c r="I58" s="17">
        <f>6046+500</f>
        <v>6546</v>
      </c>
      <c r="J58" s="17">
        <v>94</v>
      </c>
      <c r="K58" s="17">
        <v>51</v>
      </c>
      <c r="L58" s="17">
        <v>3825</v>
      </c>
      <c r="M58" s="17">
        <v>9000</v>
      </c>
      <c r="N58" s="17">
        <v>0</v>
      </c>
      <c r="O58" s="17">
        <v>0</v>
      </c>
      <c r="P58" s="17">
        <v>741.01</v>
      </c>
      <c r="Q58" s="20">
        <v>0</v>
      </c>
      <c r="R58" s="20">
        <v>0</v>
      </c>
      <c r="S58" s="17">
        <v>0</v>
      </c>
      <c r="T58" s="17">
        <v>50</v>
      </c>
      <c r="U58" s="17">
        <v>0</v>
      </c>
      <c r="V58" s="17">
        <v>4610</v>
      </c>
      <c r="W58" s="17">
        <v>902</v>
      </c>
      <c r="X58" s="17">
        <v>0</v>
      </c>
      <c r="Y58" s="17">
        <v>0</v>
      </c>
      <c r="Z58" s="17">
        <v>0</v>
      </c>
      <c r="AA58" s="17">
        <v>0</v>
      </c>
      <c r="AB58" s="17">
        <v>2000</v>
      </c>
      <c r="AC58" s="17">
        <v>3750.07</v>
      </c>
      <c r="AD58" s="17">
        <v>120</v>
      </c>
      <c r="AE58" s="17">
        <f t="shared" si="11"/>
        <v>43773.18</v>
      </c>
      <c r="AF58" s="17">
        <v>6000</v>
      </c>
      <c r="AG58" s="17">
        <v>0</v>
      </c>
      <c r="AH58" s="17">
        <v>0</v>
      </c>
      <c r="AI58" s="17">
        <v>378</v>
      </c>
      <c r="AJ58" s="17">
        <v>0</v>
      </c>
      <c r="AK58" s="17">
        <v>0</v>
      </c>
      <c r="AL58" s="17">
        <v>0</v>
      </c>
      <c r="AM58" s="17">
        <f t="shared" si="12"/>
        <v>6378</v>
      </c>
      <c r="AN58" s="17">
        <f t="shared" si="13"/>
        <v>50151.18</v>
      </c>
    </row>
    <row r="59" spans="1:40" ht="19.5" x14ac:dyDescent="0.3">
      <c r="A59" s="18"/>
      <c r="B59" s="18" t="s">
        <v>99</v>
      </c>
      <c r="C59" s="20">
        <f>303556+41550</f>
        <v>345106</v>
      </c>
      <c r="D59" s="17">
        <f>4141.23+33812.12</f>
        <v>37953.350000000006</v>
      </c>
      <c r="E59" s="17">
        <v>0</v>
      </c>
      <c r="F59" s="17">
        <v>532976.98</v>
      </c>
      <c r="G59" s="17">
        <v>271574</v>
      </c>
      <c r="H59" s="17">
        <v>26027.040000000001</v>
      </c>
      <c r="I59" s="17">
        <v>398000</v>
      </c>
      <c r="J59" s="17">
        <v>130000</v>
      </c>
      <c r="K59" s="17">
        <v>71127</v>
      </c>
      <c r="L59" s="17">
        <v>53992.14</v>
      </c>
      <c r="M59" s="17">
        <v>165000</v>
      </c>
      <c r="N59" s="17">
        <v>361555</v>
      </c>
      <c r="O59" s="17">
        <v>54058</v>
      </c>
      <c r="P59" s="17">
        <v>360293</v>
      </c>
      <c r="Q59" s="20">
        <v>432489</v>
      </c>
      <c r="R59" s="20">
        <v>6156</v>
      </c>
      <c r="S59" s="17">
        <v>44062</v>
      </c>
      <c r="T59" s="17">
        <v>32936.800000000003</v>
      </c>
      <c r="U59" s="17">
        <v>31084</v>
      </c>
      <c r="V59" s="17">
        <v>179494</v>
      </c>
      <c r="W59" s="17">
        <v>41135</v>
      </c>
      <c r="X59" s="17">
        <v>205992.17</v>
      </c>
      <c r="Y59" s="17">
        <v>10635.28</v>
      </c>
      <c r="Z59" s="17">
        <v>139257.73000000001</v>
      </c>
      <c r="AA59" s="17">
        <v>17936.900000000001</v>
      </c>
      <c r="AB59" s="17">
        <v>273763</v>
      </c>
      <c r="AC59" s="17">
        <v>114942</v>
      </c>
      <c r="AD59" s="17">
        <v>128572.26</v>
      </c>
      <c r="AE59" s="17">
        <f t="shared" si="11"/>
        <v>4466118.6499999985</v>
      </c>
      <c r="AF59" s="17">
        <v>13470</v>
      </c>
      <c r="AG59" s="17">
        <f>1314+4923</f>
        <v>6237</v>
      </c>
      <c r="AH59" s="17">
        <v>13457</v>
      </c>
      <c r="AI59" s="17">
        <v>14060</v>
      </c>
      <c r="AJ59" s="17">
        <f>174500+3000+10000</f>
        <v>187500</v>
      </c>
      <c r="AK59" s="17">
        <v>1600</v>
      </c>
      <c r="AL59" s="17">
        <v>14239.75</v>
      </c>
      <c r="AM59" s="17">
        <f t="shared" si="12"/>
        <v>250563.75</v>
      </c>
      <c r="AN59" s="17">
        <f t="shared" si="13"/>
        <v>4716682.3999999985</v>
      </c>
    </row>
    <row r="60" spans="1:40" ht="19.5" x14ac:dyDescent="0.3">
      <c r="A60" s="18"/>
      <c r="B60" s="18" t="s">
        <v>100</v>
      </c>
      <c r="C60" s="20">
        <v>0</v>
      </c>
      <c r="D60" s="17">
        <v>960</v>
      </c>
      <c r="E60" s="17">
        <v>5787</v>
      </c>
      <c r="F60" s="17">
        <v>1523.21</v>
      </c>
      <c r="G60" s="17">
        <v>0</v>
      </c>
      <c r="H60" s="17">
        <v>10802.4</v>
      </c>
      <c r="I60" s="17">
        <v>61500</v>
      </c>
      <c r="J60" s="17">
        <v>16500</v>
      </c>
      <c r="K60" s="17">
        <v>2405</v>
      </c>
      <c r="L60" s="17">
        <v>500</v>
      </c>
      <c r="M60" s="17">
        <v>43500</v>
      </c>
      <c r="N60" s="17">
        <v>79600</v>
      </c>
      <c r="O60" s="17">
        <v>7425</v>
      </c>
      <c r="P60" s="17">
        <v>0</v>
      </c>
      <c r="Q60" s="20">
        <v>15450</v>
      </c>
      <c r="R60" s="20">
        <v>0</v>
      </c>
      <c r="S60" s="17">
        <v>350</v>
      </c>
      <c r="T60" s="17">
        <v>430.08</v>
      </c>
      <c r="U60" s="17">
        <v>1400</v>
      </c>
      <c r="V60" s="17">
        <v>2500</v>
      </c>
      <c r="W60" s="17">
        <v>1571</v>
      </c>
      <c r="X60" s="17">
        <v>19710.080000000002</v>
      </c>
      <c r="Y60" s="17">
        <v>345.54</v>
      </c>
      <c r="Z60" s="17">
        <v>12977.45</v>
      </c>
      <c r="AA60" s="17">
        <v>50</v>
      </c>
      <c r="AB60" s="17">
        <v>6451</v>
      </c>
      <c r="AC60" s="17">
        <v>0</v>
      </c>
      <c r="AD60" s="17">
        <v>26250.44</v>
      </c>
      <c r="AE60" s="17">
        <f t="shared" si="11"/>
        <v>317988.19999999995</v>
      </c>
      <c r="AF60" s="17">
        <v>3700</v>
      </c>
      <c r="AG60" s="17">
        <v>0</v>
      </c>
      <c r="AH60" s="17">
        <v>0</v>
      </c>
      <c r="AI60" s="17">
        <v>522</v>
      </c>
      <c r="AJ60" s="17">
        <v>42530</v>
      </c>
      <c r="AK60" s="17">
        <v>150</v>
      </c>
      <c r="AL60" s="17">
        <v>1595.27</v>
      </c>
      <c r="AM60" s="17">
        <f t="shared" si="12"/>
        <v>48497.27</v>
      </c>
      <c r="AN60" s="17">
        <f t="shared" si="13"/>
        <v>366485.47</v>
      </c>
    </row>
    <row r="61" spans="1:40" ht="19.5" x14ac:dyDescent="0.3">
      <c r="A61" s="18"/>
      <c r="B61" s="18" t="s">
        <v>101</v>
      </c>
      <c r="C61" s="20">
        <v>0</v>
      </c>
      <c r="D61" s="17">
        <v>0</v>
      </c>
      <c r="E61" s="17">
        <v>310</v>
      </c>
      <c r="F61" s="17">
        <v>0</v>
      </c>
      <c r="G61" s="17">
        <v>0</v>
      </c>
      <c r="H61" s="17">
        <v>1475.72</v>
      </c>
      <c r="I61" s="17">
        <v>0</v>
      </c>
      <c r="J61" s="17">
        <v>0</v>
      </c>
      <c r="K61" s="17">
        <v>100</v>
      </c>
      <c r="L61" s="17">
        <v>0</v>
      </c>
      <c r="M61" s="17">
        <v>0</v>
      </c>
      <c r="N61" s="17">
        <v>0</v>
      </c>
      <c r="O61" s="17">
        <v>13339</v>
      </c>
      <c r="P61" s="17">
        <v>0</v>
      </c>
      <c r="Q61" s="20">
        <v>68</v>
      </c>
      <c r="R61" s="20">
        <v>0</v>
      </c>
      <c r="S61" s="17">
        <v>0</v>
      </c>
      <c r="T61" s="17">
        <v>5</v>
      </c>
      <c r="U61" s="17">
        <v>0</v>
      </c>
      <c r="V61" s="17">
        <v>270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1404.55</v>
      </c>
      <c r="AE61" s="17">
        <f t="shared" si="11"/>
        <v>16972.27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f t="shared" si="12"/>
        <v>0</v>
      </c>
      <c r="AN61" s="17">
        <f t="shared" si="13"/>
        <v>16972.27</v>
      </c>
    </row>
    <row r="62" spans="1:40" ht="19.5" x14ac:dyDescent="0.3">
      <c r="A62" s="18"/>
      <c r="B62" s="18" t="s">
        <v>102</v>
      </c>
      <c r="C62" s="20">
        <v>10000</v>
      </c>
      <c r="D62" s="17">
        <f>200+40</f>
        <v>240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10</v>
      </c>
      <c r="L62" s="17">
        <v>550</v>
      </c>
      <c r="M62" s="17">
        <v>0</v>
      </c>
      <c r="N62" s="17">
        <v>100</v>
      </c>
      <c r="O62" s="17">
        <v>17000</v>
      </c>
      <c r="P62" s="17">
        <v>0</v>
      </c>
      <c r="Q62" s="20">
        <f>54550+43800</f>
        <v>98350</v>
      </c>
      <c r="R62" s="20">
        <v>50</v>
      </c>
      <c r="S62" s="17">
        <v>2944</v>
      </c>
      <c r="T62" s="17">
        <v>100.72</v>
      </c>
      <c r="U62" s="17">
        <v>0</v>
      </c>
      <c r="V62" s="17">
        <v>0</v>
      </c>
      <c r="W62" s="17">
        <v>120851</v>
      </c>
      <c r="X62" s="17">
        <v>0</v>
      </c>
      <c r="Y62" s="17">
        <v>0</v>
      </c>
      <c r="Z62" s="17">
        <v>0</v>
      </c>
      <c r="AA62" s="17">
        <v>63.5</v>
      </c>
      <c r="AB62" s="17">
        <v>0</v>
      </c>
      <c r="AC62" s="17">
        <v>6139.61</v>
      </c>
      <c r="AD62" s="17">
        <v>9800</v>
      </c>
      <c r="AE62" s="17">
        <f t="shared" si="11"/>
        <v>266198.82999999996</v>
      </c>
      <c r="AF62" s="17">
        <v>31226</v>
      </c>
      <c r="AG62" s="17">
        <f>200+33</f>
        <v>233</v>
      </c>
      <c r="AH62" s="17">
        <v>420</v>
      </c>
      <c r="AI62" s="17">
        <v>0</v>
      </c>
      <c r="AJ62" s="17">
        <v>107170</v>
      </c>
      <c r="AK62" s="17">
        <v>0</v>
      </c>
      <c r="AL62" s="17">
        <v>0</v>
      </c>
      <c r="AM62" s="17">
        <f t="shared" si="12"/>
        <v>139049</v>
      </c>
      <c r="AN62" s="17">
        <f t="shared" si="13"/>
        <v>405247.82999999996</v>
      </c>
    </row>
    <row r="63" spans="1:40" ht="19.5" x14ac:dyDescent="0.3">
      <c r="A63" s="15"/>
      <c r="B63" s="15" t="s">
        <v>103</v>
      </c>
      <c r="C63" s="22">
        <f t="shared" ref="C63:AN63" si="14">SUM(C57:C62)</f>
        <v>364506</v>
      </c>
      <c r="D63" s="22">
        <f t="shared" si="14"/>
        <v>39413.350000000006</v>
      </c>
      <c r="E63" s="22">
        <f t="shared" si="14"/>
        <v>109687.9</v>
      </c>
      <c r="F63" s="22">
        <f t="shared" si="14"/>
        <v>535370.68999999994</v>
      </c>
      <c r="G63" s="22">
        <f t="shared" si="14"/>
        <v>274074</v>
      </c>
      <c r="H63" s="22">
        <f t="shared" si="14"/>
        <v>39608.76</v>
      </c>
      <c r="I63" s="22">
        <f t="shared" si="14"/>
        <v>501646</v>
      </c>
      <c r="J63" s="22">
        <f t="shared" si="14"/>
        <v>146594</v>
      </c>
      <c r="K63" s="22">
        <f t="shared" si="14"/>
        <v>73693</v>
      </c>
      <c r="L63" s="22">
        <f t="shared" si="14"/>
        <v>58867.14</v>
      </c>
      <c r="M63" s="22">
        <f t="shared" si="14"/>
        <v>217500</v>
      </c>
      <c r="N63" s="22">
        <f t="shared" si="14"/>
        <v>448555</v>
      </c>
      <c r="O63" s="22">
        <f t="shared" si="14"/>
        <v>119581</v>
      </c>
      <c r="P63" s="22">
        <f t="shared" si="14"/>
        <v>361034.01</v>
      </c>
      <c r="Q63" s="22">
        <f t="shared" si="14"/>
        <v>557549</v>
      </c>
      <c r="R63" s="22">
        <f t="shared" si="14"/>
        <v>6206</v>
      </c>
      <c r="S63" s="22">
        <f t="shared" si="14"/>
        <v>47356</v>
      </c>
      <c r="T63" s="22">
        <f t="shared" si="14"/>
        <v>33522.600000000006</v>
      </c>
      <c r="U63" s="22">
        <f t="shared" si="14"/>
        <v>32484</v>
      </c>
      <c r="V63" s="22">
        <f t="shared" si="14"/>
        <v>187329</v>
      </c>
      <c r="W63" s="22">
        <f t="shared" si="14"/>
        <v>164459</v>
      </c>
      <c r="X63" s="22">
        <f t="shared" si="14"/>
        <v>225702.25</v>
      </c>
      <c r="Y63" s="22">
        <f>SUM(Y57:Y62)</f>
        <v>10980.820000000002</v>
      </c>
      <c r="Z63" s="22">
        <f t="shared" si="14"/>
        <v>152235.21000000002</v>
      </c>
      <c r="AA63" s="22">
        <f t="shared" si="14"/>
        <v>18050.400000000001</v>
      </c>
      <c r="AB63" s="22">
        <f t="shared" si="14"/>
        <v>282214</v>
      </c>
      <c r="AC63" s="22">
        <f t="shared" si="14"/>
        <v>124831.68000000001</v>
      </c>
      <c r="AD63" s="22">
        <f t="shared" si="14"/>
        <v>166147.24999999997</v>
      </c>
      <c r="AE63" s="22">
        <f t="shared" si="14"/>
        <v>5299198.0599999987</v>
      </c>
      <c r="AF63" s="22">
        <f t="shared" si="14"/>
        <v>59099</v>
      </c>
      <c r="AG63" s="22">
        <f t="shared" si="14"/>
        <v>6470</v>
      </c>
      <c r="AH63" s="22">
        <f t="shared" si="14"/>
        <v>13877</v>
      </c>
      <c r="AI63" s="22">
        <f t="shared" si="14"/>
        <v>22960</v>
      </c>
      <c r="AJ63" s="22">
        <f t="shared" si="14"/>
        <v>337200</v>
      </c>
      <c r="AK63" s="22">
        <f t="shared" si="14"/>
        <v>10750</v>
      </c>
      <c r="AL63" s="22">
        <f t="shared" si="14"/>
        <v>16235.02</v>
      </c>
      <c r="AM63" s="22">
        <f t="shared" si="14"/>
        <v>466591.02</v>
      </c>
      <c r="AN63" s="22">
        <f t="shared" si="14"/>
        <v>5765789.0799999982</v>
      </c>
    </row>
    <row r="64" spans="1:40" ht="19.5" x14ac:dyDescent="0.3">
      <c r="A64" s="18"/>
      <c r="B64" s="18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20"/>
      <c r="R64" s="20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19.5" x14ac:dyDescent="0.3">
      <c r="A65" s="15" t="s">
        <v>104</v>
      </c>
      <c r="B65" s="15" t="s">
        <v>105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20"/>
      <c r="R65" s="20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19.5" x14ac:dyDescent="0.3">
      <c r="A66" s="18"/>
      <c r="B66" s="18" t="s">
        <v>106</v>
      </c>
      <c r="C66" s="20">
        <f>100+50</f>
        <v>150</v>
      </c>
      <c r="D66" s="17">
        <v>658.14</v>
      </c>
      <c r="E66" s="17">
        <v>1412</v>
      </c>
      <c r="F66" s="17">
        <v>857</v>
      </c>
      <c r="G66" s="17">
        <v>1089</v>
      </c>
      <c r="H66" s="17">
        <v>233.14</v>
      </c>
      <c r="I66" s="17">
        <v>11103.46</v>
      </c>
      <c r="J66" s="17">
        <v>1985</v>
      </c>
      <c r="K66" s="17">
        <v>575</v>
      </c>
      <c r="L66" s="17">
        <v>350</v>
      </c>
      <c r="M66" s="17">
        <v>290</v>
      </c>
      <c r="N66" s="17">
        <v>4851</v>
      </c>
      <c r="O66" s="17">
        <v>10020</v>
      </c>
      <c r="P66" s="17">
        <v>2935</v>
      </c>
      <c r="Q66" s="20">
        <v>350</v>
      </c>
      <c r="R66" s="20">
        <v>160</v>
      </c>
      <c r="S66" s="17">
        <f>774+200+200</f>
        <v>1174</v>
      </c>
      <c r="T66" s="17">
        <v>123.84</v>
      </c>
      <c r="U66" s="17">
        <v>200</v>
      </c>
      <c r="V66" s="17">
        <v>2645</v>
      </c>
      <c r="W66" s="17">
        <v>533</v>
      </c>
      <c r="X66" s="17">
        <v>1471.28</v>
      </c>
      <c r="Y66" s="17">
        <v>222.4</v>
      </c>
      <c r="Z66" s="17">
        <v>0.25</v>
      </c>
      <c r="AA66" s="17">
        <v>188.9</v>
      </c>
      <c r="AB66" s="17">
        <v>1774</v>
      </c>
      <c r="AC66" s="17">
        <f>1000+300+1089.49</f>
        <v>2389.4899999999998</v>
      </c>
      <c r="AD66" s="17">
        <v>2800</v>
      </c>
      <c r="AE66" s="17">
        <f>+C66+D66+E66+F66+G66+H66+I66+J66+K66+L66+M66+N66+O66+P66+Q66+R66+S66+T66+U66+V66+W66+X66+Y66+Z66+AA66+AB66+AC66+AD66</f>
        <v>50540.899999999994</v>
      </c>
      <c r="AF66" s="17">
        <v>73</v>
      </c>
      <c r="AG66" s="17">
        <v>125</v>
      </c>
      <c r="AH66" s="17">
        <v>21</v>
      </c>
      <c r="AI66" s="17">
        <v>60</v>
      </c>
      <c r="AJ66" s="17">
        <v>25</v>
      </c>
      <c r="AK66" s="17">
        <v>1000</v>
      </c>
      <c r="AL66" s="17">
        <v>175</v>
      </c>
      <c r="AM66" s="17">
        <f>SUM(AF66:AL66)</f>
        <v>1479</v>
      </c>
      <c r="AN66" s="17">
        <f>+AM66+AE66</f>
        <v>52019.899999999994</v>
      </c>
    </row>
    <row r="67" spans="1:40" ht="19.5" x14ac:dyDescent="0.3">
      <c r="A67" s="18"/>
      <c r="B67" s="18" t="s">
        <v>107</v>
      </c>
      <c r="C67" s="20">
        <f>500+100</f>
        <v>600</v>
      </c>
      <c r="D67" s="17">
        <v>631.79999999999995</v>
      </c>
      <c r="E67" s="17">
        <v>5372</v>
      </c>
      <c r="F67" s="17">
        <v>23675.96</v>
      </c>
      <c r="G67" s="17">
        <v>3441</v>
      </c>
      <c r="H67" s="17">
        <v>6300</v>
      </c>
      <c r="I67" s="17">
        <f>11584+64855.41</f>
        <v>76439.41</v>
      </c>
      <c r="J67" s="17">
        <v>2475</v>
      </c>
      <c r="K67" s="17">
        <v>781</v>
      </c>
      <c r="L67" s="17">
        <v>919.2</v>
      </c>
      <c r="M67" s="17">
        <v>6100</v>
      </c>
      <c r="N67" s="17">
        <v>15578</v>
      </c>
      <c r="O67" s="17">
        <v>21976</v>
      </c>
      <c r="P67" s="17">
        <v>3931.68</v>
      </c>
      <c r="Q67" s="20">
        <v>500</v>
      </c>
      <c r="R67" s="20">
        <v>595</v>
      </c>
      <c r="S67" s="17">
        <v>3545</v>
      </c>
      <c r="T67" s="17">
        <v>361.72</v>
      </c>
      <c r="U67" s="17">
        <v>1066</v>
      </c>
      <c r="V67" s="17">
        <v>12129</v>
      </c>
      <c r="W67" s="17">
        <f>400+3470</f>
        <v>3870</v>
      </c>
      <c r="X67" s="17">
        <v>6640.49</v>
      </c>
      <c r="Y67" s="17">
        <v>505</v>
      </c>
      <c r="Z67" s="17">
        <v>1806.14</v>
      </c>
      <c r="AA67" s="17">
        <v>401.6</v>
      </c>
      <c r="AB67" s="17">
        <v>0</v>
      </c>
      <c r="AC67" s="17">
        <v>1896</v>
      </c>
      <c r="AD67" s="17">
        <v>9175</v>
      </c>
      <c r="AE67" s="17">
        <f>+C67+D67+E67+F67+G67+H67+I67+J67+K67+L67+M67+N67+O67+P67+Q67+R67+S67+T67+U67+V67+W67+X67+Y67+Z67+AA67+AB67+AC67+AD67</f>
        <v>210712</v>
      </c>
      <c r="AF67" s="17">
        <v>9985</v>
      </c>
      <c r="AG67" s="17">
        <v>811</v>
      </c>
      <c r="AH67" s="17">
        <v>5</v>
      </c>
      <c r="AI67" s="17">
        <v>800</v>
      </c>
      <c r="AJ67" s="17">
        <v>3800</v>
      </c>
      <c r="AK67" s="17">
        <v>1766</v>
      </c>
      <c r="AL67" s="17">
        <v>220</v>
      </c>
      <c r="AM67" s="17">
        <f>SUM(AF67:AL67)</f>
        <v>17387</v>
      </c>
      <c r="AN67" s="17">
        <f>+AM67+AE67</f>
        <v>228099</v>
      </c>
    </row>
    <row r="68" spans="1:40" ht="19.5" x14ac:dyDescent="0.3">
      <c r="A68" s="18"/>
      <c r="B68" s="18" t="s">
        <v>108</v>
      </c>
      <c r="C68" s="20">
        <v>300</v>
      </c>
      <c r="D68" s="17">
        <v>25</v>
      </c>
      <c r="E68" s="17">
        <v>20</v>
      </c>
      <c r="F68" s="17">
        <v>200</v>
      </c>
      <c r="G68" s="17">
        <v>525</v>
      </c>
      <c r="H68" s="17">
        <v>424.66</v>
      </c>
      <c r="I68" s="17">
        <v>10964</v>
      </c>
      <c r="J68" s="17">
        <v>330</v>
      </c>
      <c r="K68" s="17">
        <v>50</v>
      </c>
      <c r="L68" s="17">
        <v>100</v>
      </c>
      <c r="M68" s="17">
        <v>0</v>
      </c>
      <c r="N68" s="17">
        <v>6323</v>
      </c>
      <c r="O68" s="17">
        <v>1250</v>
      </c>
      <c r="P68" s="17">
        <v>2110.31</v>
      </c>
      <c r="Q68" s="20">
        <v>1600</v>
      </c>
      <c r="R68" s="20">
        <v>1200</v>
      </c>
      <c r="S68" s="20">
        <v>120</v>
      </c>
      <c r="T68" s="17">
        <v>4</v>
      </c>
      <c r="U68" s="17">
        <v>0</v>
      </c>
      <c r="V68" s="17">
        <v>2036.04</v>
      </c>
      <c r="W68" s="17">
        <v>411</v>
      </c>
      <c r="X68" s="17">
        <v>3185.42</v>
      </c>
      <c r="Y68" s="17">
        <v>0</v>
      </c>
      <c r="Z68" s="17">
        <v>10000.06</v>
      </c>
      <c r="AA68" s="17">
        <v>103</v>
      </c>
      <c r="AB68" s="17">
        <v>136</v>
      </c>
      <c r="AC68" s="17">
        <v>700</v>
      </c>
      <c r="AD68" s="17">
        <v>2500</v>
      </c>
      <c r="AE68" s="17">
        <f>+C68+D68+E68+F68+G68+H68+I68+J68+K68+L68+M68+N68+O68+P68+Q68+R68+S68+T68+U68+V68+W68+X68+Y68+Z68+AA68+AB68+AC68+AD68</f>
        <v>44617.49</v>
      </c>
      <c r="AF68" s="17">
        <v>106</v>
      </c>
      <c r="AG68" s="17">
        <v>195</v>
      </c>
      <c r="AH68" s="17">
        <v>0</v>
      </c>
      <c r="AI68" s="17">
        <v>50</v>
      </c>
      <c r="AJ68" s="17">
        <v>1875</v>
      </c>
      <c r="AK68" s="17">
        <v>350</v>
      </c>
      <c r="AL68" s="17">
        <v>32.14</v>
      </c>
      <c r="AM68" s="17">
        <f>SUM(AF68:AL68)</f>
        <v>2608.14</v>
      </c>
      <c r="AN68" s="17">
        <f>+AM68+AE68</f>
        <v>47225.63</v>
      </c>
    </row>
    <row r="69" spans="1:40" ht="19.5" x14ac:dyDescent="0.3">
      <c r="A69" s="27"/>
      <c r="B69" s="27" t="s">
        <v>109</v>
      </c>
      <c r="C69" s="20">
        <v>9969</v>
      </c>
      <c r="D69" s="17">
        <v>5644.68</v>
      </c>
      <c r="E69" s="17">
        <f>7066+6273.5+105</f>
        <v>13444.5</v>
      </c>
      <c r="F69" s="17">
        <v>9800</v>
      </c>
      <c r="G69" s="17">
        <v>43970</v>
      </c>
      <c r="H69" s="17">
        <v>2062.61</v>
      </c>
      <c r="I69" s="17">
        <v>6522.3</v>
      </c>
      <c r="J69" s="17">
        <f>15444+220+550</f>
        <v>16214</v>
      </c>
      <c r="K69" s="17">
        <v>12412</v>
      </c>
      <c r="L69" s="17">
        <v>1905</v>
      </c>
      <c r="M69" s="17">
        <v>13219</v>
      </c>
      <c r="N69" s="17">
        <v>20542</v>
      </c>
      <c r="O69" s="17">
        <v>11406</v>
      </c>
      <c r="P69" s="17">
        <v>54003</v>
      </c>
      <c r="Q69" s="20">
        <f>37169+1696</f>
        <v>38865</v>
      </c>
      <c r="R69" s="20">
        <v>6108</v>
      </c>
      <c r="S69" s="17">
        <v>7175</v>
      </c>
      <c r="T69" s="17">
        <v>5940.33</v>
      </c>
      <c r="U69" s="17">
        <v>4347</v>
      </c>
      <c r="V69" s="17">
        <v>24873.96</v>
      </c>
      <c r="W69" s="17">
        <v>7208</v>
      </c>
      <c r="X69" s="17">
        <v>32094.6</v>
      </c>
      <c r="Y69" s="17">
        <v>8014</v>
      </c>
      <c r="Z69" s="17">
        <v>14120.28</v>
      </c>
      <c r="AA69" s="17">
        <v>6839.95</v>
      </c>
      <c r="AB69" s="17">
        <v>16374</v>
      </c>
      <c r="AC69" s="17">
        <v>21829.8</v>
      </c>
      <c r="AD69" s="17">
        <v>12017</v>
      </c>
      <c r="AE69" s="17">
        <f>+C69+D69+E69+F69+G69+H69+I69+J69+K69+L69+M69+N69+O69+P69+Q69+R69+S69+T69+U69+V69+W69+X69+Y69+Z69+AA69+AB69+AC69+AD69</f>
        <v>426921.01</v>
      </c>
      <c r="AF69" s="17">
        <v>4071</v>
      </c>
      <c r="AG69" s="17">
        <v>950</v>
      </c>
      <c r="AH69" s="17">
        <v>623</v>
      </c>
      <c r="AI69" s="17">
        <v>150</v>
      </c>
      <c r="AJ69" s="17">
        <v>2400</v>
      </c>
      <c r="AK69" s="17">
        <v>120</v>
      </c>
      <c r="AL69" s="17">
        <v>236.73</v>
      </c>
      <c r="AM69" s="17">
        <f>SUM(AF69:AL69)</f>
        <v>8550.73</v>
      </c>
      <c r="AN69" s="17">
        <f>+AM69+AE69</f>
        <v>435471.74</v>
      </c>
    </row>
    <row r="70" spans="1:40" ht="19.5" x14ac:dyDescent="0.3">
      <c r="A70" s="15"/>
      <c r="B70" s="15" t="s">
        <v>110</v>
      </c>
      <c r="C70" s="22">
        <f t="shared" ref="C70:AN70" si="15">SUM(C66:C69)</f>
        <v>11019</v>
      </c>
      <c r="D70" s="22">
        <f t="shared" si="15"/>
        <v>6959.6200000000008</v>
      </c>
      <c r="E70" s="22">
        <f t="shared" si="15"/>
        <v>20248.5</v>
      </c>
      <c r="F70" s="22">
        <f t="shared" si="15"/>
        <v>34532.959999999999</v>
      </c>
      <c r="G70" s="22">
        <f t="shared" si="15"/>
        <v>49025</v>
      </c>
      <c r="H70" s="22">
        <f t="shared" si="15"/>
        <v>9020.41</v>
      </c>
      <c r="I70" s="22">
        <f t="shared" si="15"/>
        <v>105029.17</v>
      </c>
      <c r="J70" s="22">
        <f t="shared" si="15"/>
        <v>21004</v>
      </c>
      <c r="K70" s="22">
        <f t="shared" si="15"/>
        <v>13818</v>
      </c>
      <c r="L70" s="22">
        <f t="shared" si="15"/>
        <v>3274.2</v>
      </c>
      <c r="M70" s="22">
        <f t="shared" si="15"/>
        <v>19609</v>
      </c>
      <c r="N70" s="22">
        <f t="shared" si="15"/>
        <v>47294</v>
      </c>
      <c r="O70" s="22">
        <f t="shared" si="15"/>
        <v>44652</v>
      </c>
      <c r="P70" s="22">
        <f t="shared" si="15"/>
        <v>62979.99</v>
      </c>
      <c r="Q70" s="22">
        <f t="shared" si="15"/>
        <v>41315</v>
      </c>
      <c r="R70" s="22">
        <f t="shared" si="15"/>
        <v>8063</v>
      </c>
      <c r="S70" s="22">
        <f t="shared" si="15"/>
        <v>12014</v>
      </c>
      <c r="T70" s="22">
        <f t="shared" si="15"/>
        <v>6429.89</v>
      </c>
      <c r="U70" s="22">
        <f t="shared" si="15"/>
        <v>5613</v>
      </c>
      <c r="V70" s="22">
        <f t="shared" si="15"/>
        <v>41684</v>
      </c>
      <c r="W70" s="22">
        <f t="shared" si="15"/>
        <v>12022</v>
      </c>
      <c r="X70" s="22">
        <f t="shared" si="15"/>
        <v>43391.789999999994</v>
      </c>
      <c r="Y70" s="22">
        <f t="shared" si="15"/>
        <v>8741.4</v>
      </c>
      <c r="Z70" s="22">
        <f t="shared" si="15"/>
        <v>25926.73</v>
      </c>
      <c r="AA70" s="22">
        <f t="shared" si="15"/>
        <v>7533.45</v>
      </c>
      <c r="AB70" s="22">
        <f t="shared" si="15"/>
        <v>18284</v>
      </c>
      <c r="AC70" s="22">
        <f t="shared" si="15"/>
        <v>26815.29</v>
      </c>
      <c r="AD70" s="22">
        <f t="shared" si="15"/>
        <v>26492</v>
      </c>
      <c r="AE70" s="22">
        <f t="shared" si="15"/>
        <v>732791.4</v>
      </c>
      <c r="AF70" s="22">
        <f t="shared" si="15"/>
        <v>14235</v>
      </c>
      <c r="AG70" s="22">
        <f t="shared" si="15"/>
        <v>2081</v>
      </c>
      <c r="AH70" s="22">
        <f t="shared" si="15"/>
        <v>649</v>
      </c>
      <c r="AI70" s="22">
        <f t="shared" si="15"/>
        <v>1060</v>
      </c>
      <c r="AJ70" s="22">
        <f t="shared" si="15"/>
        <v>8100</v>
      </c>
      <c r="AK70" s="22">
        <f t="shared" si="15"/>
        <v>3236</v>
      </c>
      <c r="AL70" s="22">
        <f t="shared" si="15"/>
        <v>663.87</v>
      </c>
      <c r="AM70" s="22">
        <f t="shared" si="15"/>
        <v>30024.87</v>
      </c>
      <c r="AN70" s="22">
        <f t="shared" si="15"/>
        <v>762816.27</v>
      </c>
    </row>
    <row r="71" spans="1:40" ht="19.5" x14ac:dyDescent="0.3">
      <c r="A71" s="18"/>
      <c r="B71" s="18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20"/>
      <c r="R71" s="20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</row>
    <row r="72" spans="1:40" ht="19.5" x14ac:dyDescent="0.3">
      <c r="A72" s="15" t="s">
        <v>111</v>
      </c>
      <c r="B72" s="15" t="s">
        <v>112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20"/>
      <c r="R72" s="20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</row>
    <row r="73" spans="1:40" ht="19.5" x14ac:dyDescent="0.3">
      <c r="A73" s="18"/>
      <c r="B73" s="18" t="s">
        <v>113</v>
      </c>
      <c r="C73" s="20">
        <v>146736.5</v>
      </c>
      <c r="D73" s="17">
        <v>1213</v>
      </c>
      <c r="E73" s="17">
        <v>25713.59</v>
      </c>
      <c r="F73" s="17">
        <v>12569.33</v>
      </c>
      <c r="G73" s="17">
        <v>9100</v>
      </c>
      <c r="H73" s="17">
        <v>545</v>
      </c>
      <c r="I73" s="17">
        <v>1755</v>
      </c>
      <c r="J73" s="17">
        <v>731</v>
      </c>
      <c r="K73" s="17">
        <v>300</v>
      </c>
      <c r="L73" s="17">
        <v>60850.16</v>
      </c>
      <c r="M73" s="17">
        <v>61687</v>
      </c>
      <c r="N73" s="17">
        <v>100</v>
      </c>
      <c r="O73" s="17">
        <v>9414</v>
      </c>
      <c r="P73" s="17">
        <v>11089.06</v>
      </c>
      <c r="Q73" s="20">
        <v>241</v>
      </c>
      <c r="R73" s="20">
        <f>3605+2023.12+75000+30000+3+20</f>
        <v>110651.12</v>
      </c>
      <c r="S73" s="17">
        <v>5650</v>
      </c>
      <c r="T73" s="17">
        <v>3696.13</v>
      </c>
      <c r="U73" s="17">
        <f>34689+430</f>
        <v>35119</v>
      </c>
      <c r="V73" s="17">
        <v>412</v>
      </c>
      <c r="W73" s="17">
        <v>25667.1</v>
      </c>
      <c r="X73" s="17">
        <v>8835.24</v>
      </c>
      <c r="Y73" s="17">
        <v>703.94</v>
      </c>
      <c r="Z73" s="17">
        <v>738.8</v>
      </c>
      <c r="AA73" s="17">
        <v>45920.800000000003</v>
      </c>
      <c r="AB73" s="17">
        <v>206456</v>
      </c>
      <c r="AC73" s="17">
        <v>2424.0100000000002</v>
      </c>
      <c r="AD73" s="17">
        <v>501.98</v>
      </c>
      <c r="AE73" s="17">
        <f>+C73+D73+E73+F73+G73+H73+I73+J73+K73+L73+M73+N73+O73+P73+Q73+R73+S73+T73+U73+V73+W73+X73+Y73+Z73+AA73+AB73+AC73+AD73</f>
        <v>788820.76</v>
      </c>
      <c r="AF73" s="17">
        <v>682</v>
      </c>
      <c r="AG73" s="17">
        <v>25</v>
      </c>
      <c r="AH73" s="17">
        <v>0</v>
      </c>
      <c r="AI73" s="17">
        <v>2</v>
      </c>
      <c r="AJ73" s="17">
        <v>147</v>
      </c>
      <c r="AK73" s="17">
        <v>8</v>
      </c>
      <c r="AL73" s="17">
        <v>142.16</v>
      </c>
      <c r="AM73" s="17">
        <f>SUM(AF73:AL73)</f>
        <v>1006.16</v>
      </c>
      <c r="AN73" s="17">
        <f>+AM73+AE73</f>
        <v>789826.92</v>
      </c>
    </row>
    <row r="74" spans="1:40" ht="19.5" x14ac:dyDescent="0.3">
      <c r="A74" s="18"/>
      <c r="B74" s="18" t="s">
        <v>114</v>
      </c>
      <c r="C74" s="20">
        <v>1055</v>
      </c>
      <c r="D74" s="17">
        <f>155034.61+1497</f>
        <v>156531.60999999999</v>
      </c>
      <c r="E74" s="17">
        <v>3490</v>
      </c>
      <c r="F74" s="17">
        <v>3706.66</v>
      </c>
      <c r="G74" s="17">
        <v>5759</v>
      </c>
      <c r="H74" s="17">
        <v>33099.980000000003</v>
      </c>
      <c r="I74" s="17">
        <v>37909</v>
      </c>
      <c r="J74" s="17">
        <v>2200</v>
      </c>
      <c r="K74" s="17">
        <v>1775</v>
      </c>
      <c r="L74" s="17">
        <v>13996.96</v>
      </c>
      <c r="M74" s="17">
        <v>2500</v>
      </c>
      <c r="N74" s="17">
        <v>26500</v>
      </c>
      <c r="O74" s="17">
        <v>17091</v>
      </c>
      <c r="P74" s="17">
        <v>8936.5</v>
      </c>
      <c r="Q74" s="20">
        <v>50881</v>
      </c>
      <c r="R74" s="20">
        <v>300</v>
      </c>
      <c r="S74" s="17">
        <v>2750</v>
      </c>
      <c r="T74" s="17">
        <v>361.61</v>
      </c>
      <c r="U74" s="17">
        <v>1275</v>
      </c>
      <c r="V74" s="17">
        <v>5600</v>
      </c>
      <c r="W74" s="17">
        <v>3974</v>
      </c>
      <c r="X74" s="17">
        <v>4761</v>
      </c>
      <c r="Y74" s="17">
        <v>11630.43</v>
      </c>
      <c r="Z74" s="17">
        <v>5.18</v>
      </c>
      <c r="AA74" s="17">
        <v>163</v>
      </c>
      <c r="AB74" s="17">
        <v>5165</v>
      </c>
      <c r="AC74" s="17">
        <v>19321.66</v>
      </c>
      <c r="AD74" s="17">
        <v>8200</v>
      </c>
      <c r="AE74" s="17">
        <f>+C74+D74+E74+F74+G74+H74+I74+J74+K74+L74+M74+N74+O74+P74+Q74+R74+S74+T74+U74+V74+W74+X74+Y74+Z74+AA74+AB74+AC74+AD74</f>
        <v>428938.58999999991</v>
      </c>
      <c r="AF74" s="17">
        <v>2785</v>
      </c>
      <c r="AG74" s="17">
        <v>360</v>
      </c>
      <c r="AH74" s="17">
        <v>1063</v>
      </c>
      <c r="AI74" s="17">
        <v>1904</v>
      </c>
      <c r="AJ74" s="17">
        <v>3310</v>
      </c>
      <c r="AK74" s="17">
        <v>1000</v>
      </c>
      <c r="AL74" s="17">
        <v>14080</v>
      </c>
      <c r="AM74" s="17">
        <f>SUM(AF74:AL74)</f>
        <v>24502</v>
      </c>
      <c r="AN74" s="17">
        <f>+AM74+AE74</f>
        <v>453440.58999999991</v>
      </c>
    </row>
    <row r="75" spans="1:40" ht="19.5" x14ac:dyDescent="0.3">
      <c r="A75" s="18"/>
      <c r="B75" s="18" t="s">
        <v>115</v>
      </c>
      <c r="C75" s="20">
        <v>495.5</v>
      </c>
      <c r="D75" s="17">
        <v>431.8</v>
      </c>
      <c r="E75" s="17">
        <v>650</v>
      </c>
      <c r="F75" s="17">
        <v>8000</v>
      </c>
      <c r="G75" s="17">
        <v>1842</v>
      </c>
      <c r="H75" s="17">
        <v>957.35</v>
      </c>
      <c r="I75" s="17">
        <v>3225</v>
      </c>
      <c r="J75" s="17">
        <v>218</v>
      </c>
      <c r="K75" s="17">
        <v>0</v>
      </c>
      <c r="L75" s="17">
        <v>9590.7800000000007</v>
      </c>
      <c r="M75" s="17">
        <v>0</v>
      </c>
      <c r="N75" s="17">
        <v>20</v>
      </c>
      <c r="O75" s="17">
        <v>186</v>
      </c>
      <c r="P75" s="17">
        <v>39527.550000000003</v>
      </c>
      <c r="Q75" s="20">
        <v>0</v>
      </c>
      <c r="R75" s="20">
        <v>105</v>
      </c>
      <c r="S75" s="17">
        <v>135</v>
      </c>
      <c r="T75" s="17">
        <v>200</v>
      </c>
      <c r="U75" s="17">
        <v>673</v>
      </c>
      <c r="V75" s="17">
        <v>300</v>
      </c>
      <c r="W75" s="17">
        <v>308.98</v>
      </c>
      <c r="X75" s="17">
        <v>554.9</v>
      </c>
      <c r="Y75" s="17">
        <v>259.14999999999998</v>
      </c>
      <c r="Z75" s="17">
        <v>0</v>
      </c>
      <c r="AA75" s="17">
        <v>20.6</v>
      </c>
      <c r="AB75" s="17">
        <v>145</v>
      </c>
      <c r="AC75" s="17">
        <v>181.11</v>
      </c>
      <c r="AD75" s="17">
        <v>4478</v>
      </c>
      <c r="AE75" s="17">
        <f>+C75+D75+E75+F75+G75+H75+I75+J75+K75+L75+M75+N75+O75+P75+Q75+R75+S75+T75+U75+V75+W75+X75+Y75+Z75+AA75+AB75+AC75+AD75</f>
        <v>72504.72</v>
      </c>
      <c r="AF75" s="17">
        <v>98</v>
      </c>
      <c r="AG75" s="17">
        <v>5</v>
      </c>
      <c r="AH75" s="17">
        <v>5</v>
      </c>
      <c r="AI75" s="17">
        <v>20</v>
      </c>
      <c r="AJ75" s="17">
        <v>0</v>
      </c>
      <c r="AK75" s="17">
        <v>50</v>
      </c>
      <c r="AL75" s="17">
        <v>30</v>
      </c>
      <c r="AM75" s="17">
        <f>SUM(AF75:AL75)</f>
        <v>208</v>
      </c>
      <c r="AN75" s="17">
        <f>+AM75+AE75</f>
        <v>72712.72</v>
      </c>
    </row>
    <row r="76" spans="1:40" ht="19.5" x14ac:dyDescent="0.3">
      <c r="A76" s="18"/>
      <c r="B76" s="18" t="s">
        <v>116</v>
      </c>
      <c r="C76" s="20">
        <v>8767.5</v>
      </c>
      <c r="D76" s="17">
        <v>777</v>
      </c>
      <c r="E76" s="17">
        <v>390</v>
      </c>
      <c r="F76" s="17">
        <v>138948.07999999999</v>
      </c>
      <c r="G76" s="17">
        <v>50016</v>
      </c>
      <c r="H76" s="17">
        <v>3</v>
      </c>
      <c r="I76" s="17">
        <v>23695.65</v>
      </c>
      <c r="J76" s="17">
        <v>0</v>
      </c>
      <c r="K76" s="17">
        <v>2</v>
      </c>
      <c r="L76" s="17">
        <v>0</v>
      </c>
      <c r="M76" s="17">
        <v>95576.34</v>
      </c>
      <c r="N76" s="17">
        <v>0</v>
      </c>
      <c r="O76" s="17">
        <v>614</v>
      </c>
      <c r="P76" s="17">
        <v>0</v>
      </c>
      <c r="Q76" s="20"/>
      <c r="R76" s="20">
        <v>0</v>
      </c>
      <c r="S76" s="17">
        <v>125</v>
      </c>
      <c r="T76" s="17">
        <v>181.8</v>
      </c>
      <c r="U76" s="17">
        <v>229</v>
      </c>
      <c r="V76" s="17">
        <v>983.3</v>
      </c>
      <c r="W76" s="17">
        <v>392.5</v>
      </c>
      <c r="X76" s="17">
        <v>14350.04</v>
      </c>
      <c r="Y76" s="17">
        <v>481.16</v>
      </c>
      <c r="Z76" s="17">
        <v>200000.04</v>
      </c>
      <c r="AA76" s="17">
        <v>23.2</v>
      </c>
      <c r="AB76" s="17">
        <v>0</v>
      </c>
      <c r="AC76" s="17">
        <v>0</v>
      </c>
      <c r="AD76" s="17">
        <v>1591.6</v>
      </c>
      <c r="AE76" s="17">
        <f>+C76+D76+E76+F76+G76+H76+I76+J76+K76+L76+M76+N76+O76+P76+Q76+R76+S76+T76+U76+V76+W76+X76+Y76+Z76+AA76+AB76+AC76+AD76</f>
        <v>537147.20999999985</v>
      </c>
      <c r="AF76" s="17">
        <v>800</v>
      </c>
      <c r="AG76" s="17">
        <v>1021</v>
      </c>
      <c r="AH76" s="17">
        <v>6</v>
      </c>
      <c r="AI76" s="17">
        <v>107</v>
      </c>
      <c r="AJ76" s="17">
        <v>19000</v>
      </c>
      <c r="AK76" s="17">
        <v>500</v>
      </c>
      <c r="AL76" s="17">
        <v>1600</v>
      </c>
      <c r="AM76" s="17">
        <f>SUM(AF76:AL76)</f>
        <v>23034</v>
      </c>
      <c r="AN76" s="17">
        <f>+AM76+AE76</f>
        <v>560181.20999999985</v>
      </c>
    </row>
    <row r="77" spans="1:40" ht="19.5" x14ac:dyDescent="0.3">
      <c r="A77" s="18"/>
      <c r="B77" s="18" t="s">
        <v>117</v>
      </c>
      <c r="C77" s="20">
        <v>38.880000000000003</v>
      </c>
      <c r="D77" s="17">
        <f>88+6000+3000+29.7+400</f>
        <v>9517.7000000000007</v>
      </c>
      <c r="E77" s="17">
        <f>15+5040+35+1770</f>
        <v>6860</v>
      </c>
      <c r="F77" s="17">
        <v>18384</v>
      </c>
      <c r="G77" s="17">
        <v>15472</v>
      </c>
      <c r="H77" s="17">
        <f>189+510</f>
        <v>699</v>
      </c>
      <c r="I77" s="17">
        <v>98203.11</v>
      </c>
      <c r="J77" s="17">
        <v>29441</v>
      </c>
      <c r="K77" s="17">
        <f>450+6837+1</f>
        <v>7288</v>
      </c>
      <c r="L77" s="17">
        <f>70+19350</f>
        <v>19420</v>
      </c>
      <c r="M77" s="17">
        <v>0</v>
      </c>
      <c r="N77" s="17">
        <f>100+316+70+1241+2430+155+800+400+1000+2500+1000+100+68100</f>
        <v>78212</v>
      </c>
      <c r="O77" s="17">
        <v>351</v>
      </c>
      <c r="P77" s="17">
        <f>668+20</f>
        <v>688</v>
      </c>
      <c r="Q77" s="20">
        <f>14000+7002+1000+75</f>
        <v>22077</v>
      </c>
      <c r="R77" s="20">
        <f>106.8+10775+15</f>
        <v>10896.8</v>
      </c>
      <c r="S77" s="17">
        <f>1500+4600+3906+500+100+300+200+1500+1000+20900+445+500+415+70</f>
        <v>35936</v>
      </c>
      <c r="T77" s="17">
        <f>97.6+5458.52+4388.33+3487+278.41</f>
        <v>13709.86</v>
      </c>
      <c r="U77" s="17">
        <f>280+300</f>
        <v>580</v>
      </c>
      <c r="V77" s="17">
        <v>42481.37</v>
      </c>
      <c r="W77" s="17">
        <v>0</v>
      </c>
      <c r="X77" s="17">
        <f>20+0.01+60+20100</f>
        <v>20180.009999999998</v>
      </c>
      <c r="Y77" s="17">
        <v>0</v>
      </c>
      <c r="Z77" s="17">
        <v>6.53</v>
      </c>
      <c r="AA77" s="17">
        <f>14.3+1.5</f>
        <v>15.8</v>
      </c>
      <c r="AB77" s="17">
        <v>367360</v>
      </c>
      <c r="AC77" s="17">
        <v>0</v>
      </c>
      <c r="AD77" s="17">
        <f>508.4+100</f>
        <v>608.4</v>
      </c>
      <c r="AE77" s="17">
        <f>+C77+D77+E77+F77+G77+H77+I77+J77+K77+L77+M77+N77+O77+P77+Q77+R77+S77+T77+U77+V77+W77+X77+Y77+Z77+AA77+AB77+AC77+AD77</f>
        <v>798426.46000000008</v>
      </c>
      <c r="AF77" s="17">
        <v>0</v>
      </c>
      <c r="AG77" s="17">
        <v>4</v>
      </c>
      <c r="AH77" s="17">
        <f>1+130</f>
        <v>131</v>
      </c>
      <c r="AI77" s="17">
        <f>5+1</f>
        <v>6</v>
      </c>
      <c r="AJ77" s="17">
        <v>0</v>
      </c>
      <c r="AK77" s="17">
        <v>4</v>
      </c>
      <c r="AL77" s="17">
        <v>14</v>
      </c>
      <c r="AM77" s="17">
        <f>SUM(AF77:AL77)</f>
        <v>159</v>
      </c>
      <c r="AN77" s="17">
        <f>+AM77+AE77</f>
        <v>798585.46000000008</v>
      </c>
    </row>
    <row r="78" spans="1:40" ht="19.5" x14ac:dyDescent="0.3">
      <c r="A78" s="15"/>
      <c r="B78" s="15" t="s">
        <v>118</v>
      </c>
      <c r="C78" s="22">
        <f t="shared" ref="C78:AN78" si="16">SUM(C73:C77)</f>
        <v>157093.38</v>
      </c>
      <c r="D78" s="22">
        <f t="shared" si="16"/>
        <v>168471.11</v>
      </c>
      <c r="E78" s="22">
        <f t="shared" si="16"/>
        <v>37103.589999999997</v>
      </c>
      <c r="F78" s="22">
        <f t="shared" si="16"/>
        <v>181608.06999999998</v>
      </c>
      <c r="G78" s="22">
        <f>SUM(G73:G77)</f>
        <v>82189</v>
      </c>
      <c r="H78" s="22">
        <f t="shared" si="16"/>
        <v>35304.33</v>
      </c>
      <c r="I78" s="22">
        <f t="shared" si="16"/>
        <v>164787.76</v>
      </c>
      <c r="J78" s="22">
        <f t="shared" si="16"/>
        <v>32590</v>
      </c>
      <c r="K78" s="22">
        <f t="shared" si="16"/>
        <v>9365</v>
      </c>
      <c r="L78" s="22">
        <f t="shared" si="16"/>
        <v>103857.9</v>
      </c>
      <c r="M78" s="22">
        <f t="shared" si="16"/>
        <v>159763.34</v>
      </c>
      <c r="N78" s="22">
        <f t="shared" si="16"/>
        <v>104832</v>
      </c>
      <c r="O78" s="22">
        <f t="shared" si="16"/>
        <v>27656</v>
      </c>
      <c r="P78" s="22">
        <f t="shared" si="16"/>
        <v>60241.11</v>
      </c>
      <c r="Q78" s="22">
        <f t="shared" si="16"/>
        <v>73199</v>
      </c>
      <c r="R78" s="22">
        <f t="shared" si="16"/>
        <v>121952.92</v>
      </c>
      <c r="S78" s="22">
        <f t="shared" si="16"/>
        <v>44596</v>
      </c>
      <c r="T78" s="22">
        <f t="shared" si="16"/>
        <v>18149.400000000001</v>
      </c>
      <c r="U78" s="22">
        <f t="shared" si="16"/>
        <v>37876</v>
      </c>
      <c r="V78" s="22">
        <f t="shared" si="16"/>
        <v>49776.670000000006</v>
      </c>
      <c r="W78" s="22">
        <f t="shared" si="16"/>
        <v>30342.579999999998</v>
      </c>
      <c r="X78" s="22">
        <f t="shared" si="16"/>
        <v>48681.19</v>
      </c>
      <c r="Y78" s="22">
        <f t="shared" si="16"/>
        <v>13074.68</v>
      </c>
      <c r="Z78" s="22">
        <f t="shared" si="16"/>
        <v>200750.55000000002</v>
      </c>
      <c r="AA78" s="22">
        <f t="shared" si="16"/>
        <v>46143.4</v>
      </c>
      <c r="AB78" s="22">
        <f t="shared" si="16"/>
        <v>579126</v>
      </c>
      <c r="AC78" s="22">
        <f t="shared" si="16"/>
        <v>21926.78</v>
      </c>
      <c r="AD78" s="22">
        <f t="shared" si="16"/>
        <v>15379.98</v>
      </c>
      <c r="AE78" s="22">
        <f t="shared" si="16"/>
        <v>2625837.7399999998</v>
      </c>
      <c r="AF78" s="22">
        <f t="shared" si="16"/>
        <v>4365</v>
      </c>
      <c r="AG78" s="22">
        <f t="shared" si="16"/>
        <v>1415</v>
      </c>
      <c r="AH78" s="22">
        <f t="shared" si="16"/>
        <v>1205</v>
      </c>
      <c r="AI78" s="22">
        <f t="shared" si="16"/>
        <v>2039</v>
      </c>
      <c r="AJ78" s="22">
        <f t="shared" si="16"/>
        <v>22457</v>
      </c>
      <c r="AK78" s="22">
        <f t="shared" si="16"/>
        <v>1562</v>
      </c>
      <c r="AL78" s="22">
        <f t="shared" si="16"/>
        <v>15866.16</v>
      </c>
      <c r="AM78" s="22">
        <f t="shared" si="16"/>
        <v>48909.16</v>
      </c>
      <c r="AN78" s="22">
        <f t="shared" si="16"/>
        <v>2674746.9</v>
      </c>
    </row>
    <row r="79" spans="1:40" ht="19.5" x14ac:dyDescent="0.3">
      <c r="A79" s="18"/>
      <c r="B79" s="18"/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20"/>
      <c r="R79" s="20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19.5" x14ac:dyDescent="0.3">
      <c r="A80" s="15" t="s">
        <v>119</v>
      </c>
      <c r="B80" s="15" t="s">
        <v>120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20"/>
      <c r="R80" s="20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19.5" x14ac:dyDescent="0.3">
      <c r="A81" s="15"/>
      <c r="B81" s="15" t="s">
        <v>121</v>
      </c>
      <c r="C81" s="17"/>
      <c r="D81" s="17"/>
      <c r="E81" s="17"/>
      <c r="F81" s="17"/>
      <c r="G81" s="17" t="s">
        <v>66</v>
      </c>
      <c r="H81" s="17"/>
      <c r="I81" s="17"/>
      <c r="J81" s="17"/>
      <c r="K81" s="17"/>
      <c r="L81" s="17"/>
      <c r="M81" s="17"/>
      <c r="N81" s="17"/>
      <c r="O81" s="17"/>
      <c r="P81" s="17"/>
      <c r="Q81" s="20"/>
      <c r="R81" s="20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ht="19.5" x14ac:dyDescent="0.3">
      <c r="A82" s="18"/>
      <c r="B82" s="18" t="s">
        <v>122</v>
      </c>
      <c r="C82" s="20">
        <v>279690.99</v>
      </c>
      <c r="D82" s="17">
        <v>9478.9500000000007</v>
      </c>
      <c r="E82" s="17">
        <v>76328.649999999994</v>
      </c>
      <c r="F82" s="17">
        <v>367122.08</v>
      </c>
      <c r="G82" s="17">
        <v>448584</v>
      </c>
      <c r="H82" s="17">
        <v>28001.99</v>
      </c>
      <c r="I82" s="17">
        <v>209200</v>
      </c>
      <c r="J82" s="17">
        <f>180000+60000+23210</f>
        <v>263210</v>
      </c>
      <c r="K82" s="17">
        <f>21817+10024+9600</f>
        <v>41441</v>
      </c>
      <c r="L82" s="17">
        <f>2512.32+8002.91+19050.51</f>
        <v>29565.739999999998</v>
      </c>
      <c r="M82" s="17">
        <f>105493+21507+13000</f>
        <v>140000</v>
      </c>
      <c r="N82" s="17">
        <v>284568</v>
      </c>
      <c r="O82" s="17">
        <v>59024</v>
      </c>
      <c r="P82" s="17">
        <v>265286.90000000002</v>
      </c>
      <c r="Q82" s="20">
        <f>151957+10479</f>
        <v>162436</v>
      </c>
      <c r="R82" s="20">
        <f>1500+7687+100+60.22</f>
        <v>9347.2199999999993</v>
      </c>
      <c r="S82" s="17">
        <v>21530</v>
      </c>
      <c r="T82" s="17">
        <f>20666.22+498.34+5229.9</f>
        <v>26394.46</v>
      </c>
      <c r="U82" s="17">
        <v>7769</v>
      </c>
      <c r="V82" s="17">
        <v>172615</v>
      </c>
      <c r="W82" s="17">
        <v>127789.08</v>
      </c>
      <c r="X82" s="17">
        <f>161941.53+66086.09+4439.58+1281.17</f>
        <v>233748.37</v>
      </c>
      <c r="Y82" s="17">
        <v>12517.84</v>
      </c>
      <c r="Z82" s="17">
        <f>43405.81+239358.46+140.68</f>
        <v>282904.95</v>
      </c>
      <c r="AA82" s="17">
        <f>6101.22+5273.98+2073.46</f>
        <v>13448.66</v>
      </c>
      <c r="AB82" s="17">
        <f>330423+359553+23023</f>
        <v>712999</v>
      </c>
      <c r="AC82" s="17">
        <f>72575.97+9772.11</f>
        <v>82348.08</v>
      </c>
      <c r="AD82" s="17">
        <v>262244.05</v>
      </c>
      <c r="AE82" s="17">
        <f t="shared" ref="AE82:AE95" si="17">+C82+D82+E82+F82+G82+H82+I82+J82+K82+L82+M82+N82+O82+P82+Q82+R82+S82+T82+U82+V82+W82+X82+Y82+Z82+AA82+AB82+AC82+AD82</f>
        <v>4629594.0100000007</v>
      </c>
      <c r="AF82" s="17">
        <v>17671</v>
      </c>
      <c r="AG82" s="17">
        <f>10169+1000</f>
        <v>11169</v>
      </c>
      <c r="AH82" s="17">
        <v>9226</v>
      </c>
      <c r="AI82" s="17">
        <f>624+1+1594+500</f>
        <v>2719</v>
      </c>
      <c r="AJ82" s="17">
        <v>162500</v>
      </c>
      <c r="AK82" s="17">
        <v>4425</v>
      </c>
      <c r="AL82" s="17">
        <v>10635.13</v>
      </c>
      <c r="AM82" s="17">
        <f>SUM(AF82:AL82)</f>
        <v>218345.13</v>
      </c>
      <c r="AN82" s="17">
        <f>+AM82+AE82</f>
        <v>4847939.1400000006</v>
      </c>
    </row>
    <row r="83" spans="1:40" ht="19.5" x14ac:dyDescent="0.3">
      <c r="A83" s="18"/>
      <c r="B83" s="18" t="s">
        <v>123</v>
      </c>
      <c r="C83" s="20">
        <v>73851</v>
      </c>
      <c r="D83" s="17">
        <v>2355.56</v>
      </c>
      <c r="E83" s="17">
        <v>2090</v>
      </c>
      <c r="F83" s="17">
        <v>11319.03</v>
      </c>
      <c r="G83" s="17">
        <v>6866</v>
      </c>
      <c r="H83" s="17">
        <v>6930.48</v>
      </c>
      <c r="I83" s="17">
        <v>40800</v>
      </c>
      <c r="J83" s="17">
        <v>20000</v>
      </c>
      <c r="K83" s="17">
        <v>4300</v>
      </c>
      <c r="L83" s="17">
        <v>2000</v>
      </c>
      <c r="M83" s="17">
        <v>7210</v>
      </c>
      <c r="N83" s="17">
        <v>18174</v>
      </c>
      <c r="O83" s="17">
        <v>0</v>
      </c>
      <c r="P83" s="17">
        <v>5700</v>
      </c>
      <c r="Q83" s="20">
        <v>37718</v>
      </c>
      <c r="R83" s="20">
        <v>300</v>
      </c>
      <c r="S83" s="17">
        <v>700</v>
      </c>
      <c r="T83" s="17">
        <f>522.82+516.42+1666</f>
        <v>2705.24</v>
      </c>
      <c r="U83" s="17">
        <v>350</v>
      </c>
      <c r="V83" s="17">
        <v>5148.13</v>
      </c>
      <c r="W83" s="17">
        <v>5281</v>
      </c>
      <c r="X83" s="17">
        <v>5383.44</v>
      </c>
      <c r="Y83" s="17">
        <v>35</v>
      </c>
      <c r="Z83" s="17">
        <v>8655</v>
      </c>
      <c r="AA83" s="17">
        <v>1546.54</v>
      </c>
      <c r="AB83" s="17">
        <v>18279</v>
      </c>
      <c r="AC83" s="17">
        <v>6140.73</v>
      </c>
      <c r="AD83" s="17">
        <v>47587.65</v>
      </c>
      <c r="AE83" s="17">
        <f t="shared" si="17"/>
        <v>341425.8</v>
      </c>
      <c r="AF83" s="17">
        <v>1617</v>
      </c>
      <c r="AG83" s="17">
        <v>2802</v>
      </c>
      <c r="AH83" s="17">
        <v>0</v>
      </c>
      <c r="AI83" s="17">
        <v>1325</v>
      </c>
      <c r="AJ83" s="17">
        <v>20200</v>
      </c>
      <c r="AK83" s="17">
        <v>0</v>
      </c>
      <c r="AL83" s="17">
        <v>10700</v>
      </c>
      <c r="AM83" s="17">
        <f>SUM(AF83:AL83)</f>
        <v>36644</v>
      </c>
      <c r="AN83" s="17">
        <f>+AM83+AE83</f>
        <v>378069.8</v>
      </c>
    </row>
    <row r="84" spans="1:40" ht="19.5" x14ac:dyDescent="0.3">
      <c r="A84" s="18"/>
      <c r="B84" s="18" t="s">
        <v>124</v>
      </c>
      <c r="C84" s="20">
        <v>26882.75</v>
      </c>
      <c r="D84" s="17">
        <v>1914.11</v>
      </c>
      <c r="E84" s="17">
        <v>2640.6</v>
      </c>
      <c r="F84" s="17">
        <v>2482</v>
      </c>
      <c r="G84" s="17">
        <f>3326+275</f>
        <v>3601</v>
      </c>
      <c r="H84" s="17">
        <f>10747.5+345.5</f>
        <v>11093</v>
      </c>
      <c r="I84" s="17">
        <v>15494.19</v>
      </c>
      <c r="J84" s="17">
        <v>5000</v>
      </c>
      <c r="K84" s="17">
        <v>1273</v>
      </c>
      <c r="L84" s="17">
        <v>9735</v>
      </c>
      <c r="M84" s="17">
        <v>3840</v>
      </c>
      <c r="N84" s="17">
        <v>12010</v>
      </c>
      <c r="O84" s="17">
        <v>9757</v>
      </c>
      <c r="P84" s="17">
        <v>7850</v>
      </c>
      <c r="Q84" s="20">
        <v>22282</v>
      </c>
      <c r="R84" s="20">
        <v>3518</v>
      </c>
      <c r="S84" s="17">
        <v>6885</v>
      </c>
      <c r="T84" s="17">
        <v>2987.26</v>
      </c>
      <c r="U84" s="17">
        <v>6280</v>
      </c>
      <c r="V84" s="17">
        <v>1700</v>
      </c>
      <c r="W84" s="17">
        <v>7394.75</v>
      </c>
      <c r="X84" s="17">
        <v>11305.01</v>
      </c>
      <c r="Y84" s="17">
        <v>1265.3800000000001</v>
      </c>
      <c r="Z84" s="17">
        <v>752.67</v>
      </c>
      <c r="AA84" s="17">
        <v>214</v>
      </c>
      <c r="AB84" s="17">
        <v>7528</v>
      </c>
      <c r="AC84" s="17">
        <f>4796.32+3447.43</f>
        <v>8243.75</v>
      </c>
      <c r="AD84" s="17">
        <f>9806.1+10000</f>
        <v>19806.099999999999</v>
      </c>
      <c r="AE84" s="17">
        <f t="shared" si="17"/>
        <v>213734.57000000004</v>
      </c>
      <c r="AF84" s="17">
        <v>430</v>
      </c>
      <c r="AG84" s="17">
        <v>1828</v>
      </c>
      <c r="AH84" s="17">
        <v>0</v>
      </c>
      <c r="AI84" s="17">
        <v>700</v>
      </c>
      <c r="AJ84" s="17">
        <f>2883+17</f>
        <v>2900</v>
      </c>
      <c r="AK84" s="17">
        <v>1000</v>
      </c>
      <c r="AL84" s="17">
        <v>2130.5100000000002</v>
      </c>
      <c r="AM84" s="17">
        <f>SUM(AF84:AL84)</f>
        <v>8988.51</v>
      </c>
      <c r="AN84" s="17">
        <f>+AM84+AE84</f>
        <v>222723.08000000005</v>
      </c>
    </row>
    <row r="85" spans="1:40" ht="19.5" x14ac:dyDescent="0.3">
      <c r="A85" s="18"/>
      <c r="B85" s="18" t="s">
        <v>125</v>
      </c>
      <c r="C85" s="20">
        <v>6600.67</v>
      </c>
      <c r="D85" s="17">
        <v>1566.2</v>
      </c>
      <c r="E85" s="17">
        <v>9871.5</v>
      </c>
      <c r="F85" s="17">
        <v>4601.18</v>
      </c>
      <c r="G85" s="17">
        <v>2161</v>
      </c>
      <c r="H85" s="17">
        <v>16227.97</v>
      </c>
      <c r="I85" s="17">
        <v>12940.81</v>
      </c>
      <c r="J85" s="17">
        <f>215+33+139</f>
        <v>387</v>
      </c>
      <c r="K85" s="17">
        <v>353</v>
      </c>
      <c r="L85" s="17">
        <v>1626</v>
      </c>
      <c r="M85" s="17">
        <v>3660</v>
      </c>
      <c r="N85" s="17">
        <v>25740</v>
      </c>
      <c r="O85" s="17">
        <v>6500</v>
      </c>
      <c r="P85" s="17">
        <v>8122.75</v>
      </c>
      <c r="Q85" s="20">
        <v>19830</v>
      </c>
      <c r="R85" s="20">
        <v>2207.5</v>
      </c>
      <c r="S85" s="17">
        <v>5950</v>
      </c>
      <c r="T85" s="17">
        <v>428.44</v>
      </c>
      <c r="U85" s="17">
        <v>450</v>
      </c>
      <c r="V85" s="17">
        <v>4033</v>
      </c>
      <c r="W85" s="17">
        <v>6517</v>
      </c>
      <c r="X85" s="17">
        <v>5880.01</v>
      </c>
      <c r="Y85" s="17">
        <v>3421.723</v>
      </c>
      <c r="Z85" s="17">
        <v>122.09</v>
      </c>
      <c r="AA85" s="17">
        <v>55</v>
      </c>
      <c r="AB85" s="17">
        <v>3638</v>
      </c>
      <c r="AC85" s="17">
        <v>2890.72</v>
      </c>
      <c r="AD85" s="17">
        <v>7425.9</v>
      </c>
      <c r="AE85" s="17">
        <f t="shared" si="17"/>
        <v>163207.46299999999</v>
      </c>
      <c r="AF85" s="17">
        <v>289</v>
      </c>
      <c r="AG85" s="17">
        <v>674</v>
      </c>
      <c r="AH85" s="17">
        <v>0</v>
      </c>
      <c r="AI85" s="17">
        <v>400</v>
      </c>
      <c r="AJ85" s="17">
        <v>4500</v>
      </c>
      <c r="AK85" s="17">
        <v>450</v>
      </c>
      <c r="AL85" s="17">
        <v>960.79</v>
      </c>
      <c r="AM85" s="17">
        <f>SUM(AF85:AL85)</f>
        <v>7273.79</v>
      </c>
      <c r="AN85" s="17">
        <f>+AM85+AE85</f>
        <v>170481.253</v>
      </c>
    </row>
    <row r="86" spans="1:40" ht="19.5" x14ac:dyDescent="0.3">
      <c r="A86" s="15"/>
      <c r="B86" s="15" t="s">
        <v>126</v>
      </c>
      <c r="C86" s="22">
        <f t="shared" ref="C86:AN86" si="18">SUM(C82:C85)</f>
        <v>387025.41</v>
      </c>
      <c r="D86" s="22">
        <f t="shared" si="18"/>
        <v>15314.820000000002</v>
      </c>
      <c r="E86" s="22">
        <f t="shared" si="18"/>
        <v>90930.75</v>
      </c>
      <c r="F86" s="22">
        <f t="shared" si="18"/>
        <v>385524.29000000004</v>
      </c>
      <c r="G86" s="22">
        <f t="shared" si="18"/>
        <v>461212</v>
      </c>
      <c r="H86" s="22">
        <f t="shared" si="18"/>
        <v>62253.440000000002</v>
      </c>
      <c r="I86" s="22">
        <f t="shared" si="18"/>
        <v>278435</v>
      </c>
      <c r="J86" s="22">
        <f t="shared" si="18"/>
        <v>288597</v>
      </c>
      <c r="K86" s="22">
        <f t="shared" si="18"/>
        <v>47367</v>
      </c>
      <c r="L86" s="22">
        <f t="shared" si="18"/>
        <v>42926.74</v>
      </c>
      <c r="M86" s="22">
        <f t="shared" si="18"/>
        <v>154710</v>
      </c>
      <c r="N86" s="22">
        <f t="shared" si="18"/>
        <v>340492</v>
      </c>
      <c r="O86" s="22">
        <f t="shared" si="18"/>
        <v>75281</v>
      </c>
      <c r="P86" s="22">
        <f t="shared" si="18"/>
        <v>286959.65000000002</v>
      </c>
      <c r="Q86" s="22">
        <f t="shared" si="18"/>
        <v>242266</v>
      </c>
      <c r="R86" s="22">
        <f t="shared" si="18"/>
        <v>15372.72</v>
      </c>
      <c r="S86" s="22">
        <f t="shared" si="18"/>
        <v>35065</v>
      </c>
      <c r="T86" s="22">
        <f t="shared" si="18"/>
        <v>32515.399999999998</v>
      </c>
      <c r="U86" s="22">
        <f t="shared" si="18"/>
        <v>14849</v>
      </c>
      <c r="V86" s="22">
        <f t="shared" si="18"/>
        <v>183496.13</v>
      </c>
      <c r="W86" s="22">
        <f t="shared" si="18"/>
        <v>146981.83000000002</v>
      </c>
      <c r="X86" s="22">
        <f t="shared" si="18"/>
        <v>256316.83000000002</v>
      </c>
      <c r="Y86" s="22">
        <f t="shared" si="18"/>
        <v>17239.942999999999</v>
      </c>
      <c r="Z86" s="22">
        <f t="shared" si="18"/>
        <v>292434.71000000002</v>
      </c>
      <c r="AA86" s="22">
        <f t="shared" si="18"/>
        <v>15264.2</v>
      </c>
      <c r="AB86" s="22">
        <f t="shared" si="18"/>
        <v>742444</v>
      </c>
      <c r="AC86" s="22">
        <f t="shared" si="18"/>
        <v>99623.28</v>
      </c>
      <c r="AD86" s="22">
        <f t="shared" si="18"/>
        <v>337063.7</v>
      </c>
      <c r="AE86" s="22">
        <f t="shared" si="18"/>
        <v>5347961.8430000003</v>
      </c>
      <c r="AF86" s="22">
        <f t="shared" si="18"/>
        <v>20007</v>
      </c>
      <c r="AG86" s="22">
        <f t="shared" si="18"/>
        <v>16473</v>
      </c>
      <c r="AH86" s="22">
        <f t="shared" si="18"/>
        <v>9226</v>
      </c>
      <c r="AI86" s="22">
        <f t="shared" si="18"/>
        <v>5144</v>
      </c>
      <c r="AJ86" s="22">
        <f t="shared" si="18"/>
        <v>190100</v>
      </c>
      <c r="AK86" s="22">
        <f t="shared" si="18"/>
        <v>5875</v>
      </c>
      <c r="AL86" s="22">
        <f t="shared" si="18"/>
        <v>24426.43</v>
      </c>
      <c r="AM86" s="22">
        <f t="shared" si="18"/>
        <v>271251.43</v>
      </c>
      <c r="AN86" s="22">
        <f t="shared" si="18"/>
        <v>5619213.273</v>
      </c>
    </row>
    <row r="87" spans="1:40" ht="19.5" x14ac:dyDescent="0.3">
      <c r="A87" s="18"/>
      <c r="B87" s="18" t="s">
        <v>127</v>
      </c>
      <c r="C87" s="20">
        <v>192351.52</v>
      </c>
      <c r="D87" s="17">
        <v>7743.56</v>
      </c>
      <c r="E87" s="17">
        <v>58831.86</v>
      </c>
      <c r="F87" s="17">
        <v>55635.81</v>
      </c>
      <c r="G87" s="17">
        <v>91413</v>
      </c>
      <c r="H87" s="17">
        <v>14968.26</v>
      </c>
      <c r="I87" s="17">
        <v>306000</v>
      </c>
      <c r="J87" s="17">
        <f>23630+29325+400+1100+2200</f>
        <v>56655</v>
      </c>
      <c r="K87" s="17">
        <v>21410</v>
      </c>
      <c r="L87" s="17">
        <v>29215.21</v>
      </c>
      <c r="M87" s="17">
        <v>59700</v>
      </c>
      <c r="N87" s="17">
        <v>150007</v>
      </c>
      <c r="O87" s="17">
        <v>47000</v>
      </c>
      <c r="P87" s="17">
        <v>99395.6</v>
      </c>
      <c r="Q87" s="20">
        <f>28300+181921</f>
        <v>210221</v>
      </c>
      <c r="R87" s="20">
        <v>13600</v>
      </c>
      <c r="S87" s="17">
        <v>27150</v>
      </c>
      <c r="T87" s="17">
        <f>4839.71+3703.62</f>
        <v>8543.33</v>
      </c>
      <c r="U87" s="17">
        <v>3600</v>
      </c>
      <c r="V87" s="17">
        <v>39047.42</v>
      </c>
      <c r="W87" s="17">
        <v>39789.08</v>
      </c>
      <c r="X87" s="17">
        <v>100824.95</v>
      </c>
      <c r="Y87" s="17">
        <v>15084.1</v>
      </c>
      <c r="Z87" s="17">
        <v>170311.59</v>
      </c>
      <c r="AA87" s="17">
        <f>2057+458.26+2827.82+30+7.69+0.08+6233.38+2000+246.99+1438.9</f>
        <v>15300.119999999999</v>
      </c>
      <c r="AB87" s="17">
        <f>83914+45000+97851+7125</f>
        <v>233890</v>
      </c>
      <c r="AC87" s="17">
        <v>56491.22</v>
      </c>
      <c r="AD87" s="17">
        <v>104565.5</v>
      </c>
      <c r="AE87" s="17">
        <f t="shared" si="17"/>
        <v>2228745.1300000004</v>
      </c>
      <c r="AF87" s="17">
        <v>11682</v>
      </c>
      <c r="AG87" s="17">
        <v>8769</v>
      </c>
      <c r="AH87" s="17">
        <v>4462</v>
      </c>
      <c r="AI87" s="17">
        <v>4300</v>
      </c>
      <c r="AJ87" s="17">
        <v>212400</v>
      </c>
      <c r="AK87" s="17">
        <v>2600</v>
      </c>
      <c r="AL87" s="17">
        <v>23464.52</v>
      </c>
      <c r="AM87" s="17">
        <f t="shared" ref="AM87:AM95" si="19">SUM(AF87:AL87)</f>
        <v>267677.52</v>
      </c>
      <c r="AN87" s="17">
        <f t="shared" ref="AN87:AN95" si="20">+AM87+AE87</f>
        <v>2496422.6500000004</v>
      </c>
    </row>
    <row r="88" spans="1:40" ht="19.5" x14ac:dyDescent="0.3">
      <c r="A88" s="18"/>
      <c r="B88" s="18" t="s">
        <v>128</v>
      </c>
      <c r="C88" s="20">
        <v>106086</v>
      </c>
      <c r="D88" s="17">
        <v>11611.14</v>
      </c>
      <c r="E88" s="17">
        <v>11820</v>
      </c>
      <c r="F88" s="17">
        <v>42967.31</v>
      </c>
      <c r="G88" s="17">
        <v>36513</v>
      </c>
      <c r="H88" s="17">
        <v>24185.87</v>
      </c>
      <c r="I88" s="17">
        <v>264419</v>
      </c>
      <c r="J88" s="17">
        <v>78000</v>
      </c>
      <c r="K88" s="17">
        <v>19942</v>
      </c>
      <c r="L88" s="17">
        <v>9360.24</v>
      </c>
      <c r="M88" s="17">
        <v>35000</v>
      </c>
      <c r="N88" s="17">
        <v>232529</v>
      </c>
      <c r="O88" s="17">
        <v>75600</v>
      </c>
      <c r="P88" s="17">
        <v>42546.67</v>
      </c>
      <c r="Q88" s="20">
        <v>94703</v>
      </c>
      <c r="R88" s="20">
        <v>18500</v>
      </c>
      <c r="S88" s="17">
        <v>26225</v>
      </c>
      <c r="T88" s="17">
        <v>8430.7999999999993</v>
      </c>
      <c r="U88" s="17">
        <v>500</v>
      </c>
      <c r="V88" s="17">
        <v>45250</v>
      </c>
      <c r="W88" s="17">
        <f>22510.2+29071</f>
        <v>51581.2</v>
      </c>
      <c r="X88" s="17">
        <v>139550.01</v>
      </c>
      <c r="Y88" s="17">
        <f>770.66+2775.91</f>
        <v>3546.5699999999997</v>
      </c>
      <c r="Z88" s="17">
        <v>143281.23000000001</v>
      </c>
      <c r="AA88" s="17">
        <v>7668.2</v>
      </c>
      <c r="AB88" s="17">
        <v>143307</v>
      </c>
      <c r="AC88" s="17">
        <v>57789.13</v>
      </c>
      <c r="AD88" s="17">
        <v>97751.7</v>
      </c>
      <c r="AE88" s="17">
        <f t="shared" si="17"/>
        <v>1828664.0699999998</v>
      </c>
      <c r="AF88" s="17">
        <f>3985.75+228.25+5225</f>
        <v>9439</v>
      </c>
      <c r="AG88" s="17">
        <v>1771</v>
      </c>
      <c r="AH88" s="17">
        <v>2502</v>
      </c>
      <c r="AI88" s="17">
        <v>3431</v>
      </c>
      <c r="AJ88" s="17">
        <v>180000</v>
      </c>
      <c r="AK88" s="17">
        <v>1200</v>
      </c>
      <c r="AL88" s="17">
        <v>12697.81</v>
      </c>
      <c r="AM88" s="17">
        <f t="shared" si="19"/>
        <v>211040.81</v>
      </c>
      <c r="AN88" s="17">
        <f t="shared" si="20"/>
        <v>2039704.88</v>
      </c>
    </row>
    <row r="89" spans="1:40" ht="19.5" x14ac:dyDescent="0.3">
      <c r="A89" s="18"/>
      <c r="B89" s="18" t="s">
        <v>129</v>
      </c>
      <c r="C89" s="20">
        <v>191700</v>
      </c>
      <c r="D89" s="17">
        <v>10112.94</v>
      </c>
      <c r="E89" s="17">
        <v>470</v>
      </c>
      <c r="F89" s="17">
        <v>138683.48000000001</v>
      </c>
      <c r="G89" s="17">
        <v>12092</v>
      </c>
      <c r="H89" s="17">
        <v>3637.3</v>
      </c>
      <c r="I89" s="17">
        <v>173067.46</v>
      </c>
      <c r="J89" s="17">
        <f>671+9500</f>
        <v>10171</v>
      </c>
      <c r="K89" s="17">
        <v>5692</v>
      </c>
      <c r="L89" s="17">
        <v>400</v>
      </c>
      <c r="M89" s="17">
        <v>2500</v>
      </c>
      <c r="N89" s="17">
        <v>107766</v>
      </c>
      <c r="O89" s="17">
        <v>5800</v>
      </c>
      <c r="P89" s="17">
        <v>25774.65</v>
      </c>
      <c r="Q89" s="20">
        <v>224021</v>
      </c>
      <c r="R89" s="20">
        <f>500+2675+300</f>
        <v>3475</v>
      </c>
      <c r="S89" s="17">
        <f>800+600</f>
        <v>1400</v>
      </c>
      <c r="T89" s="17">
        <f>3027.8+440+840</f>
        <v>4307.8</v>
      </c>
      <c r="U89" s="17">
        <v>20097</v>
      </c>
      <c r="V89" s="17">
        <v>25100</v>
      </c>
      <c r="W89" s="17">
        <v>1</v>
      </c>
      <c r="X89" s="17">
        <v>41359.019999999997</v>
      </c>
      <c r="Y89" s="17">
        <f>152.39+7000+200</f>
        <v>7352.39</v>
      </c>
      <c r="Z89" s="17">
        <v>8431.16</v>
      </c>
      <c r="AA89" s="17">
        <f>1239.01+1000</f>
        <v>2239.0100000000002</v>
      </c>
      <c r="AB89" s="17">
        <f>50000+54920</f>
        <v>104920</v>
      </c>
      <c r="AC89" s="17">
        <v>0.01</v>
      </c>
      <c r="AD89" s="17">
        <v>81602.45</v>
      </c>
      <c r="AE89" s="17">
        <f t="shared" si="17"/>
        <v>1212172.6700000002</v>
      </c>
      <c r="AF89" s="17">
        <v>2595</v>
      </c>
      <c r="AG89" s="17">
        <v>4527</v>
      </c>
      <c r="AH89" s="17">
        <v>500</v>
      </c>
      <c r="AI89" s="17">
        <v>540</v>
      </c>
      <c r="AJ89" s="17">
        <v>53900</v>
      </c>
      <c r="AK89" s="17">
        <v>4000</v>
      </c>
      <c r="AL89" s="17">
        <v>15158.1</v>
      </c>
      <c r="AM89" s="17">
        <f t="shared" si="19"/>
        <v>81220.100000000006</v>
      </c>
      <c r="AN89" s="17">
        <f t="shared" si="20"/>
        <v>1293392.7700000003</v>
      </c>
    </row>
    <row r="90" spans="1:40" ht="39" customHeight="1" x14ac:dyDescent="0.3">
      <c r="A90" s="18"/>
      <c r="B90" s="28" t="s">
        <v>130</v>
      </c>
      <c r="C90" s="20">
        <v>375979.73</v>
      </c>
      <c r="D90" s="17">
        <v>14900.84</v>
      </c>
      <c r="E90" s="17">
        <v>82502.5</v>
      </c>
      <c r="F90" s="17">
        <v>99347</v>
      </c>
      <c r="G90" s="29">
        <v>160466</v>
      </c>
      <c r="H90" s="29">
        <v>35943.74</v>
      </c>
      <c r="I90" s="17">
        <v>584415</v>
      </c>
      <c r="J90" s="17">
        <v>115420</v>
      </c>
      <c r="K90" s="17">
        <v>11150</v>
      </c>
      <c r="L90" s="17">
        <v>54900</v>
      </c>
      <c r="M90" s="17">
        <v>99800</v>
      </c>
      <c r="N90" s="17">
        <v>392349</v>
      </c>
      <c r="O90" s="17">
        <v>96900</v>
      </c>
      <c r="P90" s="17">
        <v>156315.48000000001</v>
      </c>
      <c r="Q90" s="20">
        <v>350212</v>
      </c>
      <c r="R90" s="20">
        <f>18773+15</f>
        <v>18788</v>
      </c>
      <c r="S90" s="17">
        <v>32750</v>
      </c>
      <c r="T90" s="17">
        <f>222.2+283.91+102.6+14231.95</f>
        <v>14840.66</v>
      </c>
      <c r="U90" s="17">
        <v>15785</v>
      </c>
      <c r="V90" s="17">
        <v>43840.99</v>
      </c>
      <c r="W90" s="17">
        <f>14498+68300+30900+34000+14500</f>
        <v>162198</v>
      </c>
      <c r="X90" s="17">
        <v>330019.08</v>
      </c>
      <c r="Y90" s="17">
        <v>22505.25</v>
      </c>
      <c r="Z90" s="17">
        <v>244584.3</v>
      </c>
      <c r="AA90" s="17">
        <v>15855.15</v>
      </c>
      <c r="AB90" s="17">
        <v>733739</v>
      </c>
      <c r="AC90" s="17">
        <v>59504.28</v>
      </c>
      <c r="AD90" s="17">
        <v>298963</v>
      </c>
      <c r="AE90" s="17">
        <f t="shared" si="17"/>
        <v>4623974.0000000009</v>
      </c>
      <c r="AF90" s="17">
        <v>4678</v>
      </c>
      <c r="AG90" s="17">
        <v>24608</v>
      </c>
      <c r="AH90" s="17">
        <v>2217</v>
      </c>
      <c r="AI90" s="17">
        <v>2680</v>
      </c>
      <c r="AJ90" s="17">
        <v>169500</v>
      </c>
      <c r="AK90" s="17">
        <v>2000</v>
      </c>
      <c r="AL90" s="17">
        <v>15545.51</v>
      </c>
      <c r="AM90" s="17">
        <f t="shared" si="19"/>
        <v>221228.51</v>
      </c>
      <c r="AN90" s="17">
        <f t="shared" si="20"/>
        <v>4845202.5100000007</v>
      </c>
    </row>
    <row r="91" spans="1:40" ht="19.5" x14ac:dyDescent="0.3">
      <c r="A91" s="18"/>
      <c r="B91" s="18" t="s">
        <v>131</v>
      </c>
      <c r="C91" s="20">
        <v>12755</v>
      </c>
      <c r="D91" s="17">
        <v>468</v>
      </c>
      <c r="E91" s="17">
        <v>260</v>
      </c>
      <c r="F91" s="17">
        <v>1036.82</v>
      </c>
      <c r="G91" s="17">
        <v>200</v>
      </c>
      <c r="H91" s="29">
        <v>2179.0500000000002</v>
      </c>
      <c r="I91" s="17">
        <v>8000</v>
      </c>
      <c r="J91" s="17">
        <v>2915</v>
      </c>
      <c r="K91" s="17">
        <v>80</v>
      </c>
      <c r="L91" s="17">
        <v>647.55999999999995</v>
      </c>
      <c r="M91" s="17">
        <v>2000</v>
      </c>
      <c r="N91" s="17">
        <v>3390</v>
      </c>
      <c r="O91" s="17">
        <v>2610</v>
      </c>
      <c r="P91" s="17">
        <v>601</v>
      </c>
      <c r="Q91" s="20">
        <v>867</v>
      </c>
      <c r="R91" s="20">
        <v>450</v>
      </c>
      <c r="S91" s="17">
        <v>900</v>
      </c>
      <c r="T91" s="17">
        <v>152</v>
      </c>
      <c r="U91" s="17">
        <v>750</v>
      </c>
      <c r="V91" s="17">
        <v>1000</v>
      </c>
      <c r="W91" s="17">
        <v>1416</v>
      </c>
      <c r="X91" s="17">
        <v>376.89</v>
      </c>
      <c r="Y91" s="17">
        <v>911.66</v>
      </c>
      <c r="Z91" s="17">
        <v>1219.26</v>
      </c>
      <c r="AA91" s="17">
        <v>938</v>
      </c>
      <c r="AB91" s="17">
        <v>50</v>
      </c>
      <c r="AC91" s="17">
        <v>831.03</v>
      </c>
      <c r="AD91" s="17">
        <v>3484.5</v>
      </c>
      <c r="AE91" s="17">
        <f t="shared" si="17"/>
        <v>50488.770000000004</v>
      </c>
      <c r="AF91" s="17">
        <v>268</v>
      </c>
      <c r="AG91" s="17">
        <v>40</v>
      </c>
      <c r="AH91" s="17">
        <v>200</v>
      </c>
      <c r="AI91" s="17">
        <v>200</v>
      </c>
      <c r="AJ91" s="17">
        <v>0</v>
      </c>
      <c r="AK91" s="17">
        <v>500</v>
      </c>
      <c r="AL91" s="17">
        <v>150</v>
      </c>
      <c r="AM91" s="17">
        <f t="shared" si="19"/>
        <v>1358</v>
      </c>
      <c r="AN91" s="17">
        <f t="shared" si="20"/>
        <v>51846.770000000004</v>
      </c>
    </row>
    <row r="92" spans="1:40" ht="19.5" x14ac:dyDescent="0.3">
      <c r="A92" s="30"/>
      <c r="B92" s="30" t="s">
        <v>132</v>
      </c>
      <c r="C92" s="20">
        <v>518935</v>
      </c>
      <c r="D92" s="17">
        <v>0</v>
      </c>
      <c r="E92" s="17">
        <f>13029.05+2300</f>
        <v>15329.05</v>
      </c>
      <c r="F92" s="17">
        <f>81633.6+8391.64</f>
        <v>90025.24</v>
      </c>
      <c r="G92" s="17">
        <v>24813</v>
      </c>
      <c r="H92" s="17">
        <v>17732.150000000001</v>
      </c>
      <c r="I92" s="17">
        <v>186261.96</v>
      </c>
      <c r="J92" s="17">
        <v>11000</v>
      </c>
      <c r="K92" s="17">
        <v>5058</v>
      </c>
      <c r="L92" s="17">
        <v>1102.28</v>
      </c>
      <c r="M92" s="17">
        <v>45187</v>
      </c>
      <c r="N92" s="17">
        <v>165720</v>
      </c>
      <c r="O92" s="31">
        <f>54975+20143+3684+2000</f>
        <v>80802</v>
      </c>
      <c r="P92" s="17">
        <v>200078.7</v>
      </c>
      <c r="Q92" s="20">
        <v>375914</v>
      </c>
      <c r="R92" s="20">
        <f>1780+3737</f>
        <v>5517</v>
      </c>
      <c r="S92" s="17">
        <v>25</v>
      </c>
      <c r="T92" s="17">
        <v>0</v>
      </c>
      <c r="U92" s="17">
        <v>0</v>
      </c>
      <c r="V92" s="17">
        <v>46100</v>
      </c>
      <c r="W92" s="17">
        <v>28787.06</v>
      </c>
      <c r="X92" s="17">
        <v>84840.92</v>
      </c>
      <c r="Y92" s="17">
        <v>151</v>
      </c>
      <c r="Z92" s="17">
        <v>83078.720000000001</v>
      </c>
      <c r="AA92" s="17">
        <v>7666.32</v>
      </c>
      <c r="AB92" s="17">
        <v>106208</v>
      </c>
      <c r="AC92" s="17">
        <f>12574.34+4799.22+246.01+1777.03</f>
        <v>19396.599999999999</v>
      </c>
      <c r="AD92" s="17">
        <v>32525</v>
      </c>
      <c r="AE92" s="17">
        <f t="shared" si="17"/>
        <v>2152254.0000000005</v>
      </c>
      <c r="AF92" s="17">
        <v>459</v>
      </c>
      <c r="AG92" s="17">
        <v>132</v>
      </c>
      <c r="AH92" s="17">
        <v>149</v>
      </c>
      <c r="AI92" s="17">
        <v>118</v>
      </c>
      <c r="AJ92" s="17">
        <v>32400</v>
      </c>
      <c r="AK92" s="17">
        <v>0</v>
      </c>
      <c r="AL92" s="17">
        <v>6474.58</v>
      </c>
      <c r="AM92" s="17">
        <f t="shared" si="19"/>
        <v>39732.58</v>
      </c>
      <c r="AN92" s="17">
        <f t="shared" si="20"/>
        <v>2191986.5800000005</v>
      </c>
    </row>
    <row r="93" spans="1:40" ht="19.5" x14ac:dyDescent="0.3">
      <c r="A93" s="18"/>
      <c r="B93" s="18" t="s">
        <v>133</v>
      </c>
      <c r="C93" s="20">
        <v>7424.09</v>
      </c>
      <c r="D93" s="17">
        <v>502</v>
      </c>
      <c r="E93" s="17">
        <v>6196</v>
      </c>
      <c r="F93" s="17">
        <v>12623.71</v>
      </c>
      <c r="G93" s="17">
        <v>13670</v>
      </c>
      <c r="H93" s="17">
        <v>5560</v>
      </c>
      <c r="I93" s="17">
        <v>48000</v>
      </c>
      <c r="J93" s="17">
        <f>770+100</f>
        <v>870</v>
      </c>
      <c r="K93" s="17">
        <v>66</v>
      </c>
      <c r="L93" s="17">
        <f>289.5+4939.9+2138</f>
        <v>7367.4</v>
      </c>
      <c r="M93" s="17">
        <v>23154.959999999999</v>
      </c>
      <c r="N93" s="17">
        <v>31027</v>
      </c>
      <c r="O93" s="17">
        <v>44500</v>
      </c>
      <c r="P93" s="17">
        <v>12250.1</v>
      </c>
      <c r="Q93" s="20">
        <v>10230</v>
      </c>
      <c r="R93" s="20">
        <f>20+127+300</f>
        <v>447</v>
      </c>
      <c r="S93" s="17">
        <f>150+870</f>
        <v>1020</v>
      </c>
      <c r="T93" s="17">
        <v>320.54000000000002</v>
      </c>
      <c r="U93" s="17">
        <f>400+200+400</f>
        <v>1000</v>
      </c>
      <c r="V93" s="17">
        <v>10770</v>
      </c>
      <c r="W93" s="17">
        <f>128.5+2885+2800</f>
        <v>5813.5</v>
      </c>
      <c r="X93" s="17">
        <v>9657.4599999999991</v>
      </c>
      <c r="Y93" s="17">
        <f>196.34+2930+301.52</f>
        <v>3427.86</v>
      </c>
      <c r="Z93" s="17">
        <v>42878.51</v>
      </c>
      <c r="AA93" s="17">
        <f>224.24+8.1+27+152.25</f>
        <v>411.59000000000003</v>
      </c>
      <c r="AB93" s="17">
        <f>381+110151+30017</f>
        <v>140549</v>
      </c>
      <c r="AC93" s="17">
        <v>5024.1099999999997</v>
      </c>
      <c r="AD93" s="17">
        <v>12784.5</v>
      </c>
      <c r="AE93" s="17">
        <f t="shared" si="17"/>
        <v>457545.33</v>
      </c>
      <c r="AF93" s="17">
        <v>438</v>
      </c>
      <c r="AG93" s="17">
        <v>246</v>
      </c>
      <c r="AH93" s="17">
        <v>79</v>
      </c>
      <c r="AI93" s="17">
        <v>155</v>
      </c>
      <c r="AJ93" s="17">
        <v>3500</v>
      </c>
      <c r="AK93" s="17">
        <v>229</v>
      </c>
      <c r="AL93" s="17">
        <v>900</v>
      </c>
      <c r="AM93" s="17">
        <f t="shared" si="19"/>
        <v>5547</v>
      </c>
      <c r="AN93" s="17">
        <f t="shared" si="20"/>
        <v>463092.33</v>
      </c>
    </row>
    <row r="94" spans="1:40" ht="19.5" x14ac:dyDescent="0.3">
      <c r="A94" s="18"/>
      <c r="B94" s="18" t="s">
        <v>134</v>
      </c>
      <c r="C94" s="20">
        <v>38697.93</v>
      </c>
      <c r="D94" s="17">
        <v>1204</v>
      </c>
      <c r="E94" s="17">
        <v>15032</v>
      </c>
      <c r="F94" s="17">
        <v>164685.98000000001</v>
      </c>
      <c r="G94" s="17">
        <v>25249</v>
      </c>
      <c r="H94" s="17">
        <v>23108.5</v>
      </c>
      <c r="I94" s="17">
        <v>55376.639999999999</v>
      </c>
      <c r="J94" s="17">
        <v>168400</v>
      </c>
      <c r="K94" s="17">
        <f>1771+1183+3280+309+2625+7</f>
        <v>9175</v>
      </c>
      <c r="L94" s="17">
        <v>13819.4</v>
      </c>
      <c r="M94" s="17">
        <f>61000+49845.04+2000+423.66</f>
        <v>113268.70000000001</v>
      </c>
      <c r="N94" s="17">
        <v>84786</v>
      </c>
      <c r="O94" s="17">
        <v>34450</v>
      </c>
      <c r="P94" s="17">
        <v>112713.96</v>
      </c>
      <c r="Q94" s="20">
        <v>109170</v>
      </c>
      <c r="R94" s="20">
        <v>3708</v>
      </c>
      <c r="S94" s="17">
        <v>2380</v>
      </c>
      <c r="T94" s="17">
        <v>1583.7</v>
      </c>
      <c r="U94" s="17">
        <v>2947</v>
      </c>
      <c r="V94" s="17">
        <v>73862.94</v>
      </c>
      <c r="W94" s="17">
        <v>83455</v>
      </c>
      <c r="X94" s="17">
        <v>40073.46</v>
      </c>
      <c r="Y94" s="17">
        <v>1905.55</v>
      </c>
      <c r="Z94" s="17">
        <v>407967.17</v>
      </c>
      <c r="AA94" s="17">
        <f>6228.55+2810.55+5919.35+13.32</f>
        <v>14971.77</v>
      </c>
      <c r="AB94" s="17">
        <f>33294+166000+10538</f>
        <v>209832</v>
      </c>
      <c r="AC94" s="17">
        <f>18545.98+4122.35+5915.25+1159.1</f>
        <v>29742.68</v>
      </c>
      <c r="AD94" s="17">
        <v>95976.55</v>
      </c>
      <c r="AE94" s="17">
        <f t="shared" si="17"/>
        <v>1937542.93</v>
      </c>
      <c r="AF94" s="17">
        <v>1131</v>
      </c>
      <c r="AG94" s="17">
        <v>496</v>
      </c>
      <c r="AH94" s="17">
        <v>264</v>
      </c>
      <c r="AI94" s="17">
        <v>353</v>
      </c>
      <c r="AJ94" s="17">
        <v>66000</v>
      </c>
      <c r="AK94" s="17">
        <v>123</v>
      </c>
      <c r="AL94" s="17">
        <v>5500</v>
      </c>
      <c r="AM94" s="17">
        <f t="shared" si="19"/>
        <v>73867</v>
      </c>
      <c r="AN94" s="17">
        <f t="shared" si="20"/>
        <v>2011409.93</v>
      </c>
    </row>
    <row r="95" spans="1:40" ht="19.5" x14ac:dyDescent="0.3">
      <c r="A95" s="18"/>
      <c r="B95" s="18" t="s">
        <v>135</v>
      </c>
      <c r="C95" s="20">
        <v>51050.84</v>
      </c>
      <c r="D95" s="17">
        <f>400+973</f>
        <v>1373</v>
      </c>
      <c r="E95" s="17">
        <v>4895</v>
      </c>
      <c r="F95" s="17">
        <v>31590</v>
      </c>
      <c r="G95" s="31">
        <f>38941+76816</f>
        <v>115757</v>
      </c>
      <c r="H95" s="17">
        <v>34048</v>
      </c>
      <c r="I95" s="17">
        <v>149399.79999999999</v>
      </c>
      <c r="J95" s="17">
        <f>10620+10340+13300+83+53108+412</f>
        <v>87863</v>
      </c>
      <c r="K95" s="17">
        <f>3240+176</f>
        <v>3416</v>
      </c>
      <c r="L95" s="17">
        <f>300.33+3187.33+300</f>
        <v>3787.66</v>
      </c>
      <c r="M95" s="17">
        <v>0</v>
      </c>
      <c r="N95" s="17">
        <v>111233</v>
      </c>
      <c r="O95" s="17">
        <v>2070</v>
      </c>
      <c r="P95" s="17">
        <v>170900</v>
      </c>
      <c r="Q95" s="20">
        <f>62513+612+42490+25706+74115+4688+1055+14544+22101+1246+115695+18021+40193</f>
        <v>422979</v>
      </c>
      <c r="R95" s="20">
        <f>3500+800</f>
        <v>4300</v>
      </c>
      <c r="S95" s="17">
        <f>660+1250</f>
        <v>1910</v>
      </c>
      <c r="T95" s="17">
        <v>889</v>
      </c>
      <c r="U95" s="17">
        <v>1300</v>
      </c>
      <c r="V95" s="17">
        <v>93919.06</v>
      </c>
      <c r="W95" s="17">
        <f>2353+17100</f>
        <v>19453</v>
      </c>
      <c r="X95" s="17">
        <f>71509.53+300+6185.03</f>
        <v>77994.559999999998</v>
      </c>
      <c r="Y95" s="17">
        <f>203.6+300</f>
        <v>503.6</v>
      </c>
      <c r="Z95" s="17">
        <f>57367.18+5253.19</f>
        <v>62620.37</v>
      </c>
      <c r="AA95" s="17">
        <f>70+10.53</f>
        <v>80.53</v>
      </c>
      <c r="AB95" s="17">
        <f>111755+200+163543</f>
        <v>275498</v>
      </c>
      <c r="AC95" s="17">
        <v>16432.099999999999</v>
      </c>
      <c r="AD95" s="17">
        <v>196450.4</v>
      </c>
      <c r="AE95" s="17">
        <f t="shared" si="17"/>
        <v>1941712.9200000004</v>
      </c>
      <c r="AF95" s="17">
        <f>740+64+500+10962</f>
        <v>12266</v>
      </c>
      <c r="AG95" s="17">
        <f>1360+14</f>
        <v>1374</v>
      </c>
      <c r="AH95" s="17">
        <v>224</v>
      </c>
      <c r="AI95" s="17">
        <f>96+224</f>
        <v>320</v>
      </c>
      <c r="AJ95" s="17">
        <v>52750</v>
      </c>
      <c r="AK95" s="17">
        <v>450</v>
      </c>
      <c r="AL95" s="17">
        <v>18167.88</v>
      </c>
      <c r="AM95" s="17">
        <f t="shared" si="19"/>
        <v>85551.88</v>
      </c>
      <c r="AN95" s="17">
        <f t="shared" si="20"/>
        <v>2027264.8000000003</v>
      </c>
    </row>
    <row r="96" spans="1:40" ht="19.5" x14ac:dyDescent="0.3">
      <c r="A96" s="15"/>
      <c r="B96" s="15" t="s">
        <v>136</v>
      </c>
      <c r="C96" s="22">
        <f>SUM(C86:C95)</f>
        <v>1882005.52</v>
      </c>
      <c r="D96" s="22">
        <f t="shared" ref="D96:AD96" si="21">SUM(D86:D95)</f>
        <v>63230.3</v>
      </c>
      <c r="E96" s="22">
        <f t="shared" si="21"/>
        <v>286267.15999999997</v>
      </c>
      <c r="F96" s="22">
        <f t="shared" si="21"/>
        <v>1022119.6399999999</v>
      </c>
      <c r="G96" s="22">
        <f t="shared" si="21"/>
        <v>941385</v>
      </c>
      <c r="H96" s="22">
        <f t="shared" si="21"/>
        <v>223616.30999999997</v>
      </c>
      <c r="I96" s="22">
        <f t="shared" si="21"/>
        <v>2053374.8599999999</v>
      </c>
      <c r="J96" s="22">
        <f t="shared" si="21"/>
        <v>819891</v>
      </c>
      <c r="K96" s="22">
        <f t="shared" si="21"/>
        <v>123356</v>
      </c>
      <c r="L96" s="22">
        <f t="shared" si="21"/>
        <v>163526.49</v>
      </c>
      <c r="M96" s="22">
        <f t="shared" si="21"/>
        <v>535320.66</v>
      </c>
      <c r="N96" s="22">
        <f t="shared" si="21"/>
        <v>1619299</v>
      </c>
      <c r="O96" s="22">
        <f t="shared" si="21"/>
        <v>465013</v>
      </c>
      <c r="P96" s="22">
        <f t="shared" si="21"/>
        <v>1107535.81</v>
      </c>
      <c r="Q96" s="22">
        <f t="shared" si="21"/>
        <v>2040583</v>
      </c>
      <c r="R96" s="22">
        <f t="shared" si="21"/>
        <v>84157.72</v>
      </c>
      <c r="S96" s="22">
        <f t="shared" si="21"/>
        <v>128825</v>
      </c>
      <c r="T96" s="22">
        <f t="shared" si="21"/>
        <v>71583.23</v>
      </c>
      <c r="U96" s="22">
        <f t="shared" si="21"/>
        <v>60828</v>
      </c>
      <c r="V96" s="22">
        <f t="shared" si="21"/>
        <v>562386.54</v>
      </c>
      <c r="W96" s="22">
        <f t="shared" si="21"/>
        <v>539475.67000000004</v>
      </c>
      <c r="X96" s="22">
        <f t="shared" si="21"/>
        <v>1081013.1800000002</v>
      </c>
      <c r="Y96" s="22">
        <f t="shared" si="21"/>
        <v>72627.92300000001</v>
      </c>
      <c r="Z96" s="22">
        <f t="shared" si="21"/>
        <v>1456807.02</v>
      </c>
      <c r="AA96" s="22">
        <f t="shared" si="21"/>
        <v>80394.89</v>
      </c>
      <c r="AB96" s="22">
        <f t="shared" si="21"/>
        <v>2690437</v>
      </c>
      <c r="AC96" s="22">
        <f t="shared" si="21"/>
        <v>344834.44</v>
      </c>
      <c r="AD96" s="22">
        <f t="shared" si="21"/>
        <v>1261167.2999999998</v>
      </c>
      <c r="AE96" s="22">
        <f>SUM(AE86:AE95)</f>
        <v>21781061.663000003</v>
      </c>
      <c r="AF96" s="22">
        <f t="shared" ref="AF96:AN96" si="22">SUM(AF86:AF95)</f>
        <v>62963</v>
      </c>
      <c r="AG96" s="22">
        <f t="shared" si="22"/>
        <v>58436</v>
      </c>
      <c r="AH96" s="22">
        <f t="shared" si="22"/>
        <v>19823</v>
      </c>
      <c r="AI96" s="22">
        <f t="shared" si="22"/>
        <v>17241</v>
      </c>
      <c r="AJ96" s="22">
        <f t="shared" si="22"/>
        <v>960550</v>
      </c>
      <c r="AK96" s="22">
        <f t="shared" si="22"/>
        <v>16977</v>
      </c>
      <c r="AL96" s="22">
        <f t="shared" si="22"/>
        <v>122484.83</v>
      </c>
      <c r="AM96" s="22">
        <f t="shared" si="22"/>
        <v>1258474.83</v>
      </c>
      <c r="AN96" s="22">
        <f t="shared" si="22"/>
        <v>23039536.493000001</v>
      </c>
    </row>
    <row r="97" spans="1:40" ht="19.5" x14ac:dyDescent="0.3">
      <c r="A97" s="15"/>
      <c r="B97" s="15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20"/>
      <c r="R97" s="20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40" ht="19.5" x14ac:dyDescent="0.3">
      <c r="A98" s="15" t="s">
        <v>137</v>
      </c>
      <c r="B98" s="15" t="s">
        <v>138</v>
      </c>
      <c r="C98" s="22">
        <v>40853</v>
      </c>
      <c r="D98" s="22">
        <v>5343.5</v>
      </c>
      <c r="E98" s="22">
        <v>61579.199999999997</v>
      </c>
      <c r="F98" s="22">
        <v>62057.03</v>
      </c>
      <c r="G98" s="22">
        <f>21266+229570+18000</f>
        <v>268836</v>
      </c>
      <c r="H98" s="22">
        <v>64624.54</v>
      </c>
      <c r="I98" s="22">
        <v>8321.11</v>
      </c>
      <c r="J98" s="22">
        <f>12674+995000+203500</f>
        <v>1211174</v>
      </c>
      <c r="K98" s="22">
        <v>6023</v>
      </c>
      <c r="L98" s="22">
        <v>65590.990000000005</v>
      </c>
      <c r="M98" s="22">
        <v>30713</v>
      </c>
      <c r="N98" s="22">
        <v>92301</v>
      </c>
      <c r="O98" s="22">
        <f>4567+322800+2482</f>
        <v>329849</v>
      </c>
      <c r="P98" s="22">
        <v>20583.13</v>
      </c>
      <c r="Q98" s="22">
        <f>51071+177735+2600000</f>
        <v>2828806</v>
      </c>
      <c r="R98" s="22">
        <v>3122</v>
      </c>
      <c r="S98" s="22">
        <v>13330</v>
      </c>
      <c r="T98" s="22">
        <v>10788.13</v>
      </c>
      <c r="U98" s="22">
        <v>6558</v>
      </c>
      <c r="V98" s="22">
        <v>26529.89</v>
      </c>
      <c r="W98" s="22">
        <v>143742.29999999999</v>
      </c>
      <c r="X98" s="22">
        <v>34189.89</v>
      </c>
      <c r="Y98" s="22">
        <v>4243.82</v>
      </c>
      <c r="Z98" s="22">
        <v>1873.82</v>
      </c>
      <c r="AA98" s="22">
        <v>5622.5</v>
      </c>
      <c r="AB98" s="22">
        <v>48676</v>
      </c>
      <c r="AC98" s="22">
        <v>46800.01</v>
      </c>
      <c r="AD98" s="22">
        <v>46000.76</v>
      </c>
      <c r="AE98" s="22">
        <f>+C98+D98+E98+F98+G98+H98+I98+J98+K98+L98+M98+N98+O98+P98+Q98+R98+S98+T98+U98+V98+W98+X98+Y98+Z98+AA98+AB98+AC98+AD98</f>
        <v>5488131.6199999992</v>
      </c>
      <c r="AF98" s="22">
        <v>9493</v>
      </c>
      <c r="AG98" s="22">
        <v>1149</v>
      </c>
      <c r="AH98" s="22">
        <v>2081</v>
      </c>
      <c r="AI98" s="22">
        <v>2167</v>
      </c>
      <c r="AJ98" s="22">
        <f>57110+86200</f>
        <v>143310</v>
      </c>
      <c r="AK98" s="22">
        <v>1025</v>
      </c>
      <c r="AL98" s="22">
        <v>86616.62</v>
      </c>
      <c r="AM98" s="22">
        <f>SUM(AF98:AL98)</f>
        <v>245841.62</v>
      </c>
      <c r="AN98" s="22">
        <f>+AM98+AE98</f>
        <v>5733973.2399999993</v>
      </c>
    </row>
    <row r="99" spans="1:40" ht="19.5" x14ac:dyDescent="0.3">
      <c r="A99" s="27"/>
      <c r="B99" s="2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1:40" ht="19.5" x14ac:dyDescent="0.3">
      <c r="A100" s="15"/>
      <c r="B100" s="15" t="s">
        <v>139</v>
      </c>
      <c r="C100" s="22">
        <f t="shared" ref="C100:AM100" si="23">SUM(C22+C37+C39+C46+C48+C54+C63+C70+C78+C96+C98)</f>
        <v>4893500</v>
      </c>
      <c r="D100" s="22">
        <f t="shared" si="23"/>
        <v>353499.99999999994</v>
      </c>
      <c r="E100" s="22">
        <f t="shared" si="23"/>
        <v>1049999.9999999998</v>
      </c>
      <c r="F100" s="22">
        <f t="shared" si="23"/>
        <v>2799999.9999999995</v>
      </c>
      <c r="G100" s="22">
        <f t="shared" si="23"/>
        <v>2348004</v>
      </c>
      <c r="H100" s="22">
        <f t="shared" si="23"/>
        <v>469999.99999999994</v>
      </c>
      <c r="I100" s="22">
        <f t="shared" si="23"/>
        <v>5100000.0000000009</v>
      </c>
      <c r="J100" s="22">
        <f t="shared" si="23"/>
        <v>2648500</v>
      </c>
      <c r="K100" s="22">
        <f t="shared" si="23"/>
        <v>370000</v>
      </c>
      <c r="L100" s="22">
        <f t="shared" si="23"/>
        <v>730000</v>
      </c>
      <c r="M100" s="22">
        <f t="shared" si="23"/>
        <v>1630000</v>
      </c>
      <c r="N100" s="22">
        <f t="shared" si="23"/>
        <v>4203000</v>
      </c>
      <c r="O100" s="22">
        <f t="shared" si="23"/>
        <v>1401000</v>
      </c>
      <c r="P100" s="22">
        <f t="shared" si="23"/>
        <v>2800000</v>
      </c>
      <c r="Q100" s="22">
        <f t="shared" si="23"/>
        <v>7100000</v>
      </c>
      <c r="R100" s="22">
        <f t="shared" si="23"/>
        <v>350000</v>
      </c>
      <c r="S100" s="22">
        <f t="shared" si="23"/>
        <v>393900</v>
      </c>
      <c r="T100" s="22">
        <f t="shared" si="23"/>
        <v>230000</v>
      </c>
      <c r="U100" s="22">
        <f t="shared" si="23"/>
        <v>230000</v>
      </c>
      <c r="V100" s="22">
        <f t="shared" si="23"/>
        <v>1724999.9999999998</v>
      </c>
      <c r="W100" s="22">
        <f t="shared" si="23"/>
        <v>1400000</v>
      </c>
      <c r="X100" s="22">
        <f t="shared" si="23"/>
        <v>3350000.0000000005</v>
      </c>
      <c r="Y100" s="22">
        <f t="shared" si="23"/>
        <v>187700.00300000003</v>
      </c>
      <c r="Z100" s="22">
        <f t="shared" si="23"/>
        <v>2799999.9999999995</v>
      </c>
      <c r="AA100" s="22">
        <f t="shared" si="23"/>
        <v>225000</v>
      </c>
      <c r="AB100" s="22">
        <f t="shared" si="23"/>
        <v>5780000</v>
      </c>
      <c r="AC100" s="22">
        <f t="shared" si="23"/>
        <v>820000</v>
      </c>
      <c r="AD100" s="22">
        <f t="shared" si="23"/>
        <v>2590999.9999999995</v>
      </c>
      <c r="AE100" s="22">
        <f>SUM(AE22+AE37+AE39+AE46+AE48+AE54+AE63+AE70+AE78+AE96+AE98)</f>
        <v>57980104.002999999</v>
      </c>
      <c r="AF100" s="22">
        <f t="shared" si="23"/>
        <v>170143</v>
      </c>
      <c r="AG100" s="22">
        <f t="shared" si="23"/>
        <v>73723</v>
      </c>
      <c r="AH100" s="22">
        <f t="shared" si="23"/>
        <v>60768</v>
      </c>
      <c r="AI100" s="22">
        <f t="shared" si="23"/>
        <v>56825</v>
      </c>
      <c r="AJ100" s="22">
        <f t="shared" si="23"/>
        <v>1586200</v>
      </c>
      <c r="AK100" s="22">
        <f t="shared" si="23"/>
        <v>40000</v>
      </c>
      <c r="AL100" s="22">
        <f t="shared" si="23"/>
        <v>300000</v>
      </c>
      <c r="AM100" s="22">
        <f t="shared" si="23"/>
        <v>2287659</v>
      </c>
      <c r="AN100" s="22">
        <f>SUM(AN22+AN37+AN39+AN46+AN48+AN54+AN63+AN70+AN78+AN96+AN98)</f>
        <v>60267763.002999999</v>
      </c>
    </row>
    <row r="101" spans="1:40" ht="17.25" customHeight="1" x14ac:dyDescent="0.3">
      <c r="C101" s="21"/>
      <c r="G101" s="21"/>
      <c r="K101" s="32"/>
      <c r="M101" s="32"/>
      <c r="O101" s="32"/>
      <c r="Q101" s="33"/>
      <c r="Z101" s="32"/>
      <c r="AH101" s="21"/>
      <c r="AL101" s="32"/>
      <c r="AN101" s="34"/>
    </row>
    <row r="102" spans="1:40" ht="13.5" customHeight="1" x14ac:dyDescent="0.2">
      <c r="AE102" s="35"/>
      <c r="AN102" s="21"/>
    </row>
    <row r="103" spans="1:40" x14ac:dyDescent="0.2">
      <c r="AE103" s="21"/>
      <c r="AN103" s="21"/>
    </row>
    <row r="104" spans="1:40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</row>
    <row r="106" spans="1:40" x14ac:dyDescent="0.2">
      <c r="AN106" s="21"/>
    </row>
    <row r="108" spans="1:40" ht="15" customHeight="1" x14ac:dyDescent="0.35">
      <c r="Z108" s="36"/>
    </row>
    <row r="113" spans="17:17" x14ac:dyDescent="0.2">
      <c r="Q113" s="21"/>
    </row>
  </sheetData>
  <mergeCells count="10">
    <mergeCell ref="AJ1:AK1"/>
    <mergeCell ref="AM1:AN1"/>
    <mergeCell ref="A3:A4"/>
    <mergeCell ref="B3:B4"/>
    <mergeCell ref="F1:G1"/>
    <mergeCell ref="K1:L1"/>
    <mergeCell ref="P1:Q1"/>
    <mergeCell ref="U1:V1"/>
    <mergeCell ref="Z1:AA1"/>
    <mergeCell ref="AE1:AF1"/>
  </mergeCells>
  <pageMargins left="0.8" right="0.75" top="0.08" bottom="0.1" header="0.09" footer="0.13"/>
  <pageSetup scale="54" orientation="landscape" r:id="rId1"/>
  <headerFooter alignWithMargins="0"/>
  <rowBreaks count="1" manualBreakCount="1">
    <brk id="54" max="39" man="1"/>
  </rowBreaks>
  <colBreaks count="7" manualBreakCount="7">
    <brk id="7" max="1048575" man="1"/>
    <brk id="12" max="1048575" man="1"/>
    <brk id="17" max="1048575" man="1"/>
    <brk id="22" max="1048575" man="1"/>
    <brk id="27" max="1048575" man="1"/>
    <brk id="32" max="1048575" man="1"/>
    <brk id="37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2012-13 AO</vt:lpstr>
      <vt:lpstr>'2012-13 AO'!Print_Area</vt:lpstr>
      <vt:lpstr>'2012-13 AO'!Print_Titles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2013-02-20T07:30:50Z</dcterms:created>
  <dcterms:modified xsi:type="dcterms:W3CDTF">2013-02-27T08:36:10Z</dcterms:modified>
</cp:coreProperties>
</file>