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dhra Pradesh(F)" sheetId="1" r:id="rId1"/>
  </sheets>
  <definedNames>
    <definedName name="_xlnm.Print_Area" localSheetId="0">'Andhra Pradesh(F)'!$A$1:$P$122</definedName>
    <definedName name="_xlnm.Print_Titles" localSheetId="0">'Andhra Pradesh(F)'!$A:$B,'Andhra Pradesh(F)'!$1:$7</definedName>
  </definedNames>
  <calcPr fullCalcOnLoad="1"/>
</workbook>
</file>

<file path=xl/sharedStrings.xml><?xml version="1.0" encoding="utf-8"?>
<sst xmlns="http://schemas.openxmlformats.org/spreadsheetml/2006/main" count="157" uniqueCount="146">
  <si>
    <t xml:space="preserve">FINANCIAL PERFORMANCE OF ANDHRA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</si>
  <si>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</si>
  <si>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</si>
  <si>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</si>
  <si>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</si>
  <si>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</si>
  <si>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</si>
  <si>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</si>
  <si>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</si>
  <si>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</si>
  <si>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</si>
  <si>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</si>
  <si>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</si>
  <si>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</si>
  <si>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</si>
  <si>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</si>
  <si>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</si>
  <si>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</si>
  <si>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</si>
  <si>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</si>
  <si>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</si>
  <si>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</si>
  <si>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</si>
  <si>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</si>
  <si>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</si>
  <si>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</si>
  <si>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</si>
  <si>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</si>
  <si>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</si>
  <si>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</si>
  <si>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</si>
  <si>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</si>
  <si>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</si>
  <si>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</si>
  <si>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</si>
  <si>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</si>
  <si>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</si>
  <si>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</si>
  <si>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</si>
  <si>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</si>
  <si>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</si>
  <si>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</si>
  <si>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</si>
  <si>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</si>
  <si>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</si>
  <si>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</si>
  <si>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</si>
  <si>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</si>
  <si>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</si>
  <si>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</si>
  <si>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</si>
  <si>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</si>
  <si>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</si>
  <si>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</si>
  <si>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</si>
  <si>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</si>
  <si>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</si>
  <si>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</si>
  <si>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</si>
  <si>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</si>
  <si>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</si>
  <si>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</si>
  <si>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</si>
  <si>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</si>
  <si>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</si>
  <si>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</si>
  <si>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</si>
  <si>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</si>
  <si>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</si>
  <si>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</si>
  <si>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</si>
  <si>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</si>
  <si>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</si>
  <si>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</si>
  <si>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</si>
  <si>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</si>
  <si>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</si>
  <si>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</si>
  <si>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</si>
  <si>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</si>
  <si>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</si>
  <si>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</si>
  <si>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</si>
  <si>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</si>
  <si>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</si>
  <si>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</si>
  <si>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</si>
  <si>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</si>
  <si>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</si>
  <si>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</si>
  <si>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</si>
  <si>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</si>
  <si>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</si>
  <si>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</si>
  <si>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 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</si>
  <si>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</si>
  <si>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</si>
  <si>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</si>
  <si>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</si>
  <si>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</si>
  <si>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</si>
  <si>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</si>
  <si>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</si>
  <si>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</si>
  <si>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</si>
  <si>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</si>
  <si>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</si>
  <si>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</si>
  <si>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</si>
  <si>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</si>
  <si>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</si>
  <si>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</si>
  <si>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</si>
  <si>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</si>
  <si>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</si>
  <si>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</si>
  <si>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</si>
  <si>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</si>
  <si>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</si>
  <si>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</si>
  <si>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</si>
  <si>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</si>
  <si>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</si>
  <si>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</si>
  <si>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</si>
  <si>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*</t>
  </si>
  <si>
    <t>* : Revision not sought by State Government; approved outlay repeated.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</si>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</sst>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 wrapText="1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 wrapText="1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164" fontId="28" fillId="24" borderId="12" xfId="57" applyNumberFormat="1" applyFont="1" applyFill="1" applyBorder="1" applyAlignment="1">
      <alignment vertical="center"/>
      <protection/>
    </xf>
    <xf numFmtId="164" fontId="28" fillId="24" borderId="13" xfId="57" applyNumberFormat="1" applyFont="1" applyFill="1" applyBorder="1" applyAlignment="1" applyProtection="1">
      <alignment horizontal="left" vertical="center" wrapText="1"/>
      <protection/>
    </xf>
    <xf numFmtId="0" fontId="29" fillId="24" borderId="13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165" fontId="29" fillId="24" borderId="14" xfId="0" applyNumberFormat="1" applyFont="1" applyFill="1" applyBorder="1" applyAlignment="1">
      <alignment/>
    </xf>
    <xf numFmtId="165" fontId="29" fillId="2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28" fillId="24" borderId="16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 wrapText="1"/>
      <protection/>
    </xf>
    <xf numFmtId="165" fontId="29" fillId="0" borderId="13" xfId="0" applyNumberFormat="1" applyFont="1" applyBorder="1" applyAlignment="1" applyProtection="1">
      <alignment/>
      <protection/>
    </xf>
    <xf numFmtId="165" fontId="29" fillId="0" borderId="13" xfId="0" applyNumberFormat="1" applyFont="1" applyBorder="1" applyAlignment="1">
      <alignment horizontal="right" vertical="center"/>
    </xf>
    <xf numFmtId="165" fontId="29" fillId="0" borderId="13" xfId="0" applyNumberFormat="1" applyFont="1" applyBorder="1" applyAlignment="1">
      <alignment vertical="center"/>
    </xf>
    <xf numFmtId="2" fontId="29" fillId="24" borderId="14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 horizontal="right"/>
    </xf>
    <xf numFmtId="164" fontId="28" fillId="24" borderId="17" xfId="57" applyNumberFormat="1" applyFont="1" applyFill="1" applyBorder="1" applyAlignment="1">
      <alignment vertical="center"/>
      <protection/>
    </xf>
    <xf numFmtId="165" fontId="29" fillId="0" borderId="14" xfId="0" applyNumberFormat="1" applyFont="1" applyBorder="1" applyAlignment="1">
      <alignment vertical="center"/>
    </xf>
    <xf numFmtId="164" fontId="22" fillId="24" borderId="13" xfId="57" applyNumberFormat="1" applyFont="1" applyFill="1" applyBorder="1" applyAlignment="1" applyProtection="1">
      <alignment horizontal="left" vertical="center" wrapText="1"/>
      <protection/>
    </xf>
    <xf numFmtId="165" fontId="26" fillId="24" borderId="13" xfId="0" applyNumberFormat="1" applyFont="1" applyFill="1" applyBorder="1" applyAlignment="1">
      <alignment/>
    </xf>
    <xf numFmtId="2" fontId="26" fillId="24" borderId="14" xfId="0" applyNumberFormat="1" applyFont="1" applyFill="1" applyBorder="1" applyAlignment="1">
      <alignment/>
    </xf>
    <xf numFmtId="165" fontId="26" fillId="24" borderId="14" xfId="0" applyNumberFormat="1" applyFont="1" applyFill="1" applyBorder="1" applyAlignment="1">
      <alignment/>
    </xf>
    <xf numFmtId="165" fontId="28" fillId="24" borderId="14" xfId="0" applyNumberFormat="1" applyFont="1" applyFill="1" applyBorder="1" applyAlignment="1">
      <alignment/>
    </xf>
    <xf numFmtId="0" fontId="30" fillId="24" borderId="0" xfId="0" applyFont="1" applyFill="1" applyAlignment="1">
      <alignment/>
    </xf>
    <xf numFmtId="2" fontId="28" fillId="24" borderId="14" xfId="0" applyNumberFormat="1" applyFont="1" applyFill="1" applyBorder="1" applyAlignment="1">
      <alignment/>
    </xf>
    <xf numFmtId="165" fontId="29" fillId="0" borderId="13" xfId="0" applyNumberFormat="1" applyFont="1" applyBorder="1" applyAlignment="1" applyProtection="1">
      <alignment horizontal="right"/>
      <protection/>
    </xf>
    <xf numFmtId="165" fontId="29" fillId="0" borderId="13" xfId="0" applyNumberFormat="1" applyFont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65" fontId="26" fillId="24" borderId="14" xfId="0" applyNumberFormat="1" applyFont="1" applyFill="1" applyBorder="1" applyAlignment="1">
      <alignment horizontal="right"/>
    </xf>
    <xf numFmtId="165" fontId="28" fillId="24" borderId="14" xfId="0" applyNumberFormat="1" applyFont="1" applyFill="1" applyBorder="1" applyAlignment="1">
      <alignment horizontal="right"/>
    </xf>
    <xf numFmtId="165" fontId="28" fillId="24" borderId="13" xfId="0" applyNumberFormat="1" applyFont="1" applyFill="1" applyBorder="1" applyAlignment="1">
      <alignment/>
    </xf>
    <xf numFmtId="165" fontId="26" fillId="0" borderId="13" xfId="0" applyNumberFormat="1" applyFont="1" applyBorder="1" applyAlignment="1" applyProtection="1">
      <alignment/>
      <protection/>
    </xf>
    <xf numFmtId="164" fontId="28" fillId="24" borderId="18" xfId="57" applyNumberFormat="1" applyFont="1" applyFill="1" applyBorder="1" applyAlignment="1">
      <alignment vertical="center"/>
      <protection/>
    </xf>
    <xf numFmtId="2" fontId="26" fillId="24" borderId="13" xfId="0" applyNumberFormat="1" applyFont="1" applyFill="1" applyBorder="1" applyAlignment="1">
      <alignment/>
    </xf>
    <xf numFmtId="165" fontId="29" fillId="0" borderId="13" xfId="0" applyNumberFormat="1" applyFont="1" applyFill="1" applyBorder="1" applyAlignment="1">
      <alignment/>
    </xf>
    <xf numFmtId="165" fontId="32" fillId="24" borderId="14" xfId="0" applyNumberFormat="1" applyFont="1" applyFill="1" applyBorder="1" applyAlignment="1">
      <alignment/>
    </xf>
    <xf numFmtId="165" fontId="32" fillId="24" borderId="13" xfId="0" applyNumberFormat="1" applyFont="1" applyFill="1" applyBorder="1" applyAlignment="1">
      <alignment/>
    </xf>
    <xf numFmtId="164" fontId="28" fillId="24" borderId="17" xfId="57" applyNumberFormat="1" applyFont="1" applyFill="1" applyBorder="1" applyAlignment="1">
      <alignment horizontal="right" vertical="center"/>
      <protection/>
    </xf>
    <xf numFmtId="164" fontId="29" fillId="24" borderId="13" xfId="57" applyNumberFormat="1" applyFont="1" applyFill="1" applyBorder="1" applyAlignment="1">
      <alignment vertical="center" wrapText="1"/>
      <protection/>
    </xf>
    <xf numFmtId="164" fontId="32" fillId="24" borderId="13" xfId="57" applyNumberFormat="1" applyFont="1" applyFill="1" applyBorder="1" applyAlignment="1" applyProtection="1">
      <alignment horizontal="left" vertical="center" wrapText="1"/>
      <protection/>
    </xf>
    <xf numFmtId="165" fontId="26" fillId="24" borderId="19" xfId="0" applyNumberFormat="1" applyFont="1" applyFill="1" applyBorder="1" applyAlignment="1">
      <alignment/>
    </xf>
    <xf numFmtId="164" fontId="28" fillId="24" borderId="18" xfId="57" applyNumberFormat="1" applyFont="1" applyFill="1" applyBorder="1" applyAlignment="1">
      <alignment horizontal="center" vertical="center"/>
      <protection/>
    </xf>
    <xf numFmtId="164" fontId="22" fillId="24" borderId="19" xfId="57" applyNumberFormat="1" applyFont="1" applyFill="1" applyBorder="1" applyAlignment="1" applyProtection="1">
      <alignment horizontal="left" vertical="center" wrapText="1"/>
      <protection/>
    </xf>
    <xf numFmtId="165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4" fontId="30" fillId="24" borderId="17" xfId="57" applyNumberFormat="1" applyFont="1" applyFill="1" applyBorder="1" applyAlignment="1">
      <alignment vertical="center"/>
      <protection/>
    </xf>
    <xf numFmtId="164" fontId="25" fillId="24" borderId="0" xfId="57" applyNumberFormat="1" applyFont="1" applyFill="1" applyAlignment="1">
      <alignment vertical="center" wrapText="1"/>
      <protection/>
    </xf>
    <xf numFmtId="0" fontId="33" fillId="24" borderId="0" xfId="0" applyFont="1" applyFill="1" applyAlignment="1">
      <alignment horizontal="center"/>
    </xf>
    <xf numFmtId="164" fontId="24" fillId="24" borderId="0" xfId="57" applyNumberFormat="1" applyFont="1" applyFill="1" applyAlignment="1">
      <alignment vertical="center" wrapText="1"/>
      <protection/>
    </xf>
    <xf numFmtId="0" fontId="29" fillId="24" borderId="0" xfId="0" applyFont="1" applyFill="1" applyAlignment="1">
      <alignment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vertical="top" wrapText="1"/>
    </xf>
    <xf numFmtId="164" fontId="26" fillId="24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85" zoomScaleNormal="85" zoomScaleSheetLayoutView="50" workbookViewId="0" topLeftCell="A1">
      <pane xSplit="2" ySplit="7" topLeftCell="C1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3" sqref="C123"/>
    </sheetView>
  </sheetViews>
  <sheetFormatPr defaultColWidth="9.140625" defaultRowHeight="12.75"/>
  <cols>
    <col min="1" max="1" width="5.28125" style="58" customWidth="1"/>
    <col min="2" max="2" width="49.57421875" style="61" customWidth="1"/>
    <col min="3" max="3" width="15.57421875" style="3" customWidth="1"/>
    <col min="4" max="4" width="14.28125" style="3" customWidth="1"/>
    <col min="5" max="5" width="16.140625" style="3" customWidth="1"/>
    <col min="6" max="6" width="14.00390625" style="3" customWidth="1"/>
    <col min="7" max="7" width="14.28125" style="3" customWidth="1"/>
    <col min="8" max="8" width="15.140625" style="3" customWidth="1"/>
    <col min="9" max="9" width="15.28125" style="3" customWidth="1"/>
    <col min="10" max="10" width="15.8515625" style="3" customWidth="1"/>
    <col min="11" max="11" width="15.28125" style="3" customWidth="1"/>
    <col min="12" max="12" width="14.421875" style="3" customWidth="1"/>
    <col min="13" max="13" width="15.421875" style="3" customWidth="1"/>
    <col min="14" max="15" width="14.8515625" style="3" customWidth="1"/>
    <col min="16" max="16" width="16.140625" style="3" customWidth="1"/>
    <col min="17" max="17" width="15.00390625" style="3" customWidth="1"/>
    <col min="18" max="18" width="15.28125" style="0" customWidth="1"/>
    <col min="19" max="16384" width="9.140625" style="3" customWidth="1"/>
  </cols>
  <sheetData>
    <row r="1" spans="1:16" ht="15.75">
      <c r="A1" s="68"/>
      <c r="B1" s="68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s="7" customFormat="1" ht="16.5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R2" s="6" t="s">
        <v>1</v>
      </c>
    </row>
    <row r="3" spans="1:18" ht="13.5" customHeight="1" thickBot="1">
      <c r="A3" s="71" t="s">
        <v>2</v>
      </c>
      <c r="B3" s="69" t="s">
        <v>3</v>
      </c>
      <c r="C3" s="63" t="s">
        <v>4</v>
      </c>
      <c r="D3" s="67" t="s">
        <v>5</v>
      </c>
      <c r="E3" s="67"/>
      <c r="F3" s="67"/>
      <c r="G3" s="67" t="s">
        <v>6</v>
      </c>
      <c r="H3" s="67"/>
      <c r="I3" s="67"/>
      <c r="J3" s="67" t="s">
        <v>7</v>
      </c>
      <c r="K3" s="67"/>
      <c r="L3" s="67"/>
      <c r="M3" s="64" t="s">
        <v>8</v>
      </c>
      <c r="N3" s="65"/>
      <c r="O3" s="66"/>
      <c r="P3" s="64" t="s">
        <v>9</v>
      </c>
      <c r="Q3" s="65"/>
      <c r="R3" s="66"/>
    </row>
    <row r="4" spans="1:18" ht="13.5" customHeight="1" thickBot="1">
      <c r="A4" s="71"/>
      <c r="B4" s="69"/>
      <c r="C4" s="70"/>
      <c r="D4" s="63" t="s">
        <v>10</v>
      </c>
      <c r="E4" s="63" t="s">
        <v>11</v>
      </c>
      <c r="F4" s="63" t="s">
        <v>12</v>
      </c>
      <c r="G4" s="63" t="s">
        <v>10</v>
      </c>
      <c r="H4" s="63" t="s">
        <v>11</v>
      </c>
      <c r="I4" s="63" t="s">
        <v>12</v>
      </c>
      <c r="J4" s="63" t="s">
        <v>10</v>
      </c>
      <c r="K4" s="63" t="s">
        <v>11</v>
      </c>
      <c r="L4" s="63" t="s">
        <v>12</v>
      </c>
      <c r="M4" s="63" t="s">
        <v>10</v>
      </c>
      <c r="N4" s="63" t="s">
        <v>11</v>
      </c>
      <c r="O4" s="63" t="s">
        <v>12</v>
      </c>
      <c r="P4" s="63" t="s">
        <v>10</v>
      </c>
      <c r="Q4" s="63" t="s">
        <v>13</v>
      </c>
      <c r="R4" s="63" t="s">
        <v>12</v>
      </c>
    </row>
    <row r="5" spans="1:18" ht="13.5" thickBot="1">
      <c r="A5" s="71"/>
      <c r="B5" s="69"/>
      <c r="C5" s="7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3.5" thickBot="1">
      <c r="A6" s="71"/>
      <c r="B6" s="69"/>
      <c r="C6" s="7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1" customFormat="1" ht="14.25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>
        <v>16</v>
      </c>
      <c r="Q7" s="10">
        <v>17</v>
      </c>
      <c r="R7" s="10">
        <v>18</v>
      </c>
    </row>
    <row r="8" spans="1:18" ht="15">
      <c r="A8" s="12" t="s">
        <v>29</v>
      </c>
      <c r="B8" s="13" t="s">
        <v>127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6"/>
      <c r="Q8" s="17"/>
      <c r="R8" s="18"/>
    </row>
    <row r="9" spans="1:18" ht="15">
      <c r="A9" s="19"/>
      <c r="B9" s="20" t="s">
        <v>30</v>
      </c>
      <c r="C9" s="21">
        <v>91080</v>
      </c>
      <c r="D9" s="22">
        <v>14930.32</v>
      </c>
      <c r="E9" s="23">
        <v>13961</v>
      </c>
      <c r="F9" s="24">
        <v>9433.83</v>
      </c>
      <c r="G9" s="23">
        <v>24666</v>
      </c>
      <c r="H9" s="25">
        <v>23284.82</v>
      </c>
      <c r="I9" s="16">
        <v>25989.01</v>
      </c>
      <c r="J9" s="25">
        <v>39652.5</v>
      </c>
      <c r="K9" s="25">
        <v>39652.5</v>
      </c>
      <c r="L9" s="16">
        <v>33134.47</v>
      </c>
      <c r="M9" s="25">
        <v>32077.74</v>
      </c>
      <c r="N9" s="16">
        <v>32936.73</v>
      </c>
      <c r="O9" s="25">
        <f>11700.94+14934.78</f>
        <v>26635.72</v>
      </c>
      <c r="P9" s="16">
        <v>32377.74</v>
      </c>
      <c r="Q9" s="25">
        <v>32377.74</v>
      </c>
      <c r="R9" s="25">
        <v>28834.69</v>
      </c>
    </row>
    <row r="10" spans="1:18" ht="15">
      <c r="A10" s="19"/>
      <c r="B10" s="20" t="s">
        <v>31</v>
      </c>
      <c r="C10" s="25">
        <v>0</v>
      </c>
      <c r="D10" s="26">
        <v>0</v>
      </c>
      <c r="E10" s="25">
        <v>0</v>
      </c>
      <c r="F10" s="24">
        <v>0</v>
      </c>
      <c r="G10" s="25">
        <v>0</v>
      </c>
      <c r="H10" s="25">
        <v>0</v>
      </c>
      <c r="I10" s="16">
        <v>0</v>
      </c>
      <c r="J10" s="25">
        <v>0</v>
      </c>
      <c r="K10" s="25">
        <v>0</v>
      </c>
      <c r="L10" s="16">
        <v>0</v>
      </c>
      <c r="M10" s="25">
        <v>0</v>
      </c>
      <c r="N10" s="16">
        <v>0</v>
      </c>
      <c r="O10" s="25">
        <v>0</v>
      </c>
      <c r="P10" s="25">
        <v>0</v>
      </c>
      <c r="Q10" s="25">
        <v>0</v>
      </c>
      <c r="R10" s="25">
        <v>0</v>
      </c>
    </row>
    <row r="11" spans="1:18" ht="15">
      <c r="A11" s="19"/>
      <c r="B11" s="20" t="s">
        <v>32</v>
      </c>
      <c r="C11" s="21">
        <v>485</v>
      </c>
      <c r="D11" s="22">
        <v>68.26</v>
      </c>
      <c r="E11" s="25">
        <v>71</v>
      </c>
      <c r="F11" s="24">
        <v>46.94</v>
      </c>
      <c r="G11" s="23">
        <v>383</v>
      </c>
      <c r="H11" s="25">
        <v>15.65</v>
      </c>
      <c r="I11" s="16">
        <v>0</v>
      </c>
      <c r="J11" s="25">
        <v>0</v>
      </c>
      <c r="K11" s="25">
        <v>0</v>
      </c>
      <c r="L11" s="16">
        <v>0</v>
      </c>
      <c r="M11" s="25">
        <v>0</v>
      </c>
      <c r="N11" s="16">
        <v>0</v>
      </c>
      <c r="O11" s="25">
        <v>0</v>
      </c>
      <c r="P11" s="25">
        <v>0</v>
      </c>
      <c r="Q11" s="25">
        <v>0</v>
      </c>
      <c r="R11" s="25"/>
    </row>
    <row r="12" spans="1:18" ht="15">
      <c r="A12" s="19"/>
      <c r="B12" s="20" t="s">
        <v>33</v>
      </c>
      <c r="C12" s="25"/>
      <c r="D12" s="26"/>
      <c r="E12" s="25"/>
      <c r="F12" s="24"/>
      <c r="G12" s="25"/>
      <c r="H12" s="25"/>
      <c r="I12" s="16"/>
      <c r="J12" s="25"/>
      <c r="K12" s="25"/>
      <c r="L12" s="16"/>
      <c r="M12" s="25"/>
      <c r="O12" s="25"/>
      <c r="P12" s="25"/>
      <c r="Q12" s="25"/>
      <c r="R12" s="25">
        <v>0</v>
      </c>
    </row>
    <row r="13" spans="1:18" ht="15">
      <c r="A13" s="27"/>
      <c r="B13" s="20" t="s">
        <v>34</v>
      </c>
      <c r="C13" s="21">
        <v>4097</v>
      </c>
      <c r="D13" s="22">
        <v>161.72</v>
      </c>
      <c r="E13" s="23">
        <v>123</v>
      </c>
      <c r="F13" s="24">
        <v>204.24</v>
      </c>
      <c r="G13" s="23">
        <v>119</v>
      </c>
      <c r="H13" s="25">
        <v>1748.3</v>
      </c>
      <c r="I13" s="16">
        <v>786.96</v>
      </c>
      <c r="J13" s="25">
        <v>533.74</v>
      </c>
      <c r="K13" s="25">
        <v>533.74</v>
      </c>
      <c r="L13" s="16">
        <v>260.04</v>
      </c>
      <c r="M13" s="25">
        <v>1543.74</v>
      </c>
      <c r="N13" s="16">
        <v>2026.84</v>
      </c>
      <c r="O13" s="25">
        <v>1988.7</v>
      </c>
      <c r="P13" s="25">
        <v>2013.84</v>
      </c>
      <c r="Q13" s="25">
        <v>2013.84</v>
      </c>
      <c r="R13" s="25">
        <v>4419.91</v>
      </c>
    </row>
    <row r="14" spans="1:18" ht="15">
      <c r="A14" s="27"/>
      <c r="B14" s="20" t="s">
        <v>35</v>
      </c>
      <c r="C14" s="21">
        <v>0</v>
      </c>
      <c r="D14" s="22">
        <v>0</v>
      </c>
      <c r="E14" s="23">
        <v>0</v>
      </c>
      <c r="F14" s="24">
        <v>0</v>
      </c>
      <c r="G14" s="23">
        <v>0</v>
      </c>
      <c r="H14" s="25">
        <v>0</v>
      </c>
      <c r="I14" s="16">
        <v>0</v>
      </c>
      <c r="J14" s="25">
        <v>0</v>
      </c>
      <c r="K14" s="25">
        <v>0</v>
      </c>
      <c r="L14" s="16">
        <v>0</v>
      </c>
      <c r="M14" s="25">
        <v>0</v>
      </c>
      <c r="N14" s="16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15">
      <c r="A15" s="27"/>
      <c r="B15" s="20" t="s">
        <v>36</v>
      </c>
      <c r="C15" s="21">
        <v>1270</v>
      </c>
      <c r="D15" s="22">
        <v>127.06</v>
      </c>
      <c r="E15" s="23">
        <v>189</v>
      </c>
      <c r="F15" s="24">
        <v>230.17</v>
      </c>
      <c r="G15" s="23">
        <v>178</v>
      </c>
      <c r="H15" s="25">
        <v>153.55</v>
      </c>
      <c r="I15" s="16">
        <v>139.39</v>
      </c>
      <c r="J15" s="25">
        <v>178.36</v>
      </c>
      <c r="K15" s="25">
        <v>178.36</v>
      </c>
      <c r="L15" s="16">
        <v>220.45</v>
      </c>
      <c r="M15" s="25">
        <v>1034.36</v>
      </c>
      <c r="N15" s="16">
        <v>802.66</v>
      </c>
      <c r="O15" s="25">
        <v>671.05</v>
      </c>
      <c r="P15" s="25">
        <v>1034.36</v>
      </c>
      <c r="Q15" s="25">
        <v>1034.36</v>
      </c>
      <c r="R15" s="25">
        <v>1477.13</v>
      </c>
    </row>
    <row r="16" spans="1:18" ht="15">
      <c r="A16" s="27"/>
      <c r="B16" s="20" t="s">
        <v>37</v>
      </c>
      <c r="C16" s="21">
        <v>123779</v>
      </c>
      <c r="D16" s="22">
        <v>12382.78</v>
      </c>
      <c r="E16" s="23">
        <v>7783</v>
      </c>
      <c r="F16" s="24">
        <v>5997.83</v>
      </c>
      <c r="G16" s="23">
        <v>23212</v>
      </c>
      <c r="H16" s="25">
        <v>23456.34</v>
      </c>
      <c r="I16" s="16">
        <v>19749.81</v>
      </c>
      <c r="J16" s="25">
        <v>30040.56</v>
      </c>
      <c r="K16" s="25">
        <v>30040.56</v>
      </c>
      <c r="L16" s="16">
        <v>13379.37</v>
      </c>
      <c r="M16" s="25">
        <v>28546.65</v>
      </c>
      <c r="N16" s="16">
        <v>21869.19</v>
      </c>
      <c r="O16" s="25">
        <v>16400.75</v>
      </c>
      <c r="P16" s="25">
        <v>19080.65</v>
      </c>
      <c r="Q16" s="25">
        <v>19080.65</v>
      </c>
      <c r="R16" s="25">
        <v>12979.06</v>
      </c>
    </row>
    <row r="17" spans="1:18" ht="15">
      <c r="A17" s="27"/>
      <c r="B17" s="20" t="s">
        <v>38</v>
      </c>
      <c r="C17" s="21">
        <v>0</v>
      </c>
      <c r="D17" s="22">
        <v>0</v>
      </c>
      <c r="E17" s="23">
        <v>0</v>
      </c>
      <c r="F17" s="24">
        <v>0</v>
      </c>
      <c r="G17" s="23">
        <v>0</v>
      </c>
      <c r="H17" s="23">
        <v>0</v>
      </c>
      <c r="I17" s="28">
        <v>0</v>
      </c>
      <c r="J17" s="23">
        <v>0</v>
      </c>
      <c r="K17" s="23">
        <v>0</v>
      </c>
      <c r="L17" s="28">
        <v>0</v>
      </c>
      <c r="M17" s="23">
        <v>0</v>
      </c>
      <c r="N17" s="16">
        <v>0</v>
      </c>
      <c r="O17" s="23">
        <v>0</v>
      </c>
      <c r="P17" s="25">
        <v>0</v>
      </c>
      <c r="Q17" s="25">
        <v>0</v>
      </c>
      <c r="R17" s="23">
        <v>0</v>
      </c>
    </row>
    <row r="18" spans="1:18" ht="15">
      <c r="A18" s="27"/>
      <c r="B18" s="20" t="s">
        <v>39</v>
      </c>
      <c r="C18" s="21">
        <v>0</v>
      </c>
      <c r="D18" s="22">
        <v>0</v>
      </c>
      <c r="E18" s="23">
        <v>0</v>
      </c>
      <c r="F18" s="24">
        <v>0</v>
      </c>
      <c r="G18" s="23">
        <v>0</v>
      </c>
      <c r="H18" s="23">
        <v>0</v>
      </c>
      <c r="I18" s="28">
        <v>0</v>
      </c>
      <c r="J18" s="23">
        <v>0</v>
      </c>
      <c r="K18" s="23">
        <v>0</v>
      </c>
      <c r="L18" s="28">
        <v>0</v>
      </c>
      <c r="M18" s="23">
        <v>0</v>
      </c>
      <c r="N18" s="16">
        <v>0</v>
      </c>
      <c r="O18" s="23">
        <v>0</v>
      </c>
      <c r="P18" s="25">
        <v>0</v>
      </c>
      <c r="Q18" s="25">
        <v>0</v>
      </c>
      <c r="R18" s="23">
        <v>0</v>
      </c>
    </row>
    <row r="19" spans="1:18" ht="15">
      <c r="A19" s="27"/>
      <c r="B19" s="20" t="s">
        <v>40</v>
      </c>
      <c r="C19" s="21">
        <v>2042</v>
      </c>
      <c r="D19" s="22">
        <v>288.78</v>
      </c>
      <c r="E19" s="23">
        <v>2114</v>
      </c>
      <c r="F19" s="24">
        <v>300</v>
      </c>
      <c r="G19" s="23">
        <v>550</v>
      </c>
      <c r="H19" s="25">
        <v>525.05</v>
      </c>
      <c r="I19" s="16">
        <v>550</v>
      </c>
      <c r="J19" s="25">
        <v>1050</v>
      </c>
      <c r="K19" s="25">
        <v>1050</v>
      </c>
      <c r="L19" s="16">
        <v>1050</v>
      </c>
      <c r="M19" s="25">
        <v>1050</v>
      </c>
      <c r="N19" s="16">
        <v>1050</v>
      </c>
      <c r="O19" s="25">
        <v>1050</v>
      </c>
      <c r="P19" s="25">
        <v>2010</v>
      </c>
      <c r="Q19" s="25">
        <v>2010</v>
      </c>
      <c r="R19" s="25">
        <v>2010</v>
      </c>
    </row>
    <row r="20" spans="1:18" ht="15">
      <c r="A20" s="27"/>
      <c r="B20" s="20" t="s">
        <v>41</v>
      </c>
      <c r="C20" s="21">
        <v>5500</v>
      </c>
      <c r="D20" s="22">
        <v>926.19</v>
      </c>
      <c r="E20" s="23">
        <v>614</v>
      </c>
      <c r="F20" s="24">
        <v>802.89</v>
      </c>
      <c r="G20" s="23">
        <v>201</v>
      </c>
      <c r="H20" s="25">
        <v>150.47</v>
      </c>
      <c r="I20" s="16">
        <v>0</v>
      </c>
      <c r="J20" s="25">
        <v>1500</v>
      </c>
      <c r="K20" s="25">
        <v>1500</v>
      </c>
      <c r="L20" s="16">
        <v>341.62</v>
      </c>
      <c r="M20" s="25">
        <v>1500</v>
      </c>
      <c r="N20" s="16">
        <v>750</v>
      </c>
      <c r="O20" s="25">
        <v>0</v>
      </c>
      <c r="P20" s="25">
        <v>1500</v>
      </c>
      <c r="Q20" s="25">
        <v>1500</v>
      </c>
      <c r="R20" s="25">
        <v>1060.18</v>
      </c>
    </row>
    <row r="21" spans="1:18" ht="15">
      <c r="A21" s="27"/>
      <c r="B21" s="20" t="s">
        <v>42</v>
      </c>
      <c r="C21" s="21">
        <v>5068</v>
      </c>
      <c r="D21" s="22">
        <v>1196.06</v>
      </c>
      <c r="E21" s="23">
        <v>965</v>
      </c>
      <c r="F21" s="24">
        <v>873.92</v>
      </c>
      <c r="G21" s="23">
        <v>1326</v>
      </c>
      <c r="H21" s="25">
        <v>1998.96</v>
      </c>
      <c r="I21" s="16">
        <v>1951.04</v>
      </c>
      <c r="J21" s="25">
        <v>1426.84</v>
      </c>
      <c r="K21" s="25">
        <v>1426.84</v>
      </c>
      <c r="L21" s="16">
        <v>22496.01</v>
      </c>
      <c r="M21" s="25">
        <v>1426.84</v>
      </c>
      <c r="N21" s="16">
        <v>1076.78</v>
      </c>
      <c r="O21" s="25">
        <v>1045.04</v>
      </c>
      <c r="P21" s="25">
        <v>1426.84</v>
      </c>
      <c r="Q21" s="25">
        <v>1426.84</v>
      </c>
      <c r="R21" s="25">
        <v>798.94</v>
      </c>
    </row>
    <row r="22" spans="1:18" ht="15">
      <c r="A22" s="27"/>
      <c r="B22" s="20" t="s">
        <v>128</v>
      </c>
      <c r="C22" s="25"/>
      <c r="D22" s="26"/>
      <c r="E22" s="25"/>
      <c r="F22" s="24"/>
      <c r="G22" s="25"/>
      <c r="H22" s="25"/>
      <c r="I22" s="16"/>
      <c r="J22" s="25"/>
      <c r="K22" s="25"/>
      <c r="L22" s="16"/>
      <c r="M22" s="25"/>
      <c r="N22" s="16"/>
      <c r="O22" s="25"/>
      <c r="P22" s="25"/>
      <c r="Q22" s="25"/>
      <c r="R22" s="25"/>
    </row>
    <row r="23" spans="1:18" ht="15">
      <c r="A23" s="27"/>
      <c r="B23" s="20" t="s">
        <v>43</v>
      </c>
      <c r="C23" s="25">
        <v>0</v>
      </c>
      <c r="D23" s="26">
        <v>0</v>
      </c>
      <c r="E23" s="23">
        <v>0</v>
      </c>
      <c r="F23" s="24">
        <v>0</v>
      </c>
      <c r="G23" s="23">
        <v>0</v>
      </c>
      <c r="H23" s="23">
        <v>0</v>
      </c>
      <c r="I23" s="28">
        <v>0</v>
      </c>
      <c r="J23" s="23">
        <v>0</v>
      </c>
      <c r="K23" s="23">
        <v>0</v>
      </c>
      <c r="L23" s="28">
        <v>0</v>
      </c>
      <c r="M23" s="23">
        <v>0</v>
      </c>
      <c r="N23" s="16">
        <v>0</v>
      </c>
      <c r="O23" s="23">
        <v>0</v>
      </c>
      <c r="P23" s="25">
        <v>0</v>
      </c>
      <c r="Q23" s="25">
        <v>0</v>
      </c>
      <c r="R23" s="23">
        <v>0</v>
      </c>
    </row>
    <row r="24" spans="1:18" ht="15">
      <c r="A24" s="27"/>
      <c r="B24" s="20" t="s">
        <v>44</v>
      </c>
      <c r="C24" s="25">
        <v>0</v>
      </c>
      <c r="D24" s="26">
        <v>0</v>
      </c>
      <c r="E24" s="23">
        <v>0</v>
      </c>
      <c r="F24" s="24">
        <v>0</v>
      </c>
      <c r="G24" s="23">
        <v>0</v>
      </c>
      <c r="H24" s="23">
        <v>0</v>
      </c>
      <c r="I24" s="28">
        <v>0</v>
      </c>
      <c r="J24" s="23">
        <v>0</v>
      </c>
      <c r="K24" s="23">
        <v>0</v>
      </c>
      <c r="L24" s="28">
        <v>0</v>
      </c>
      <c r="M24" s="23">
        <v>0</v>
      </c>
      <c r="N24" s="16">
        <v>0</v>
      </c>
      <c r="O24" s="23">
        <v>0</v>
      </c>
      <c r="P24" s="25">
        <v>0</v>
      </c>
      <c r="Q24" s="25">
        <v>0</v>
      </c>
      <c r="R24" s="23">
        <v>0</v>
      </c>
    </row>
    <row r="25" spans="1:18" s="34" customFormat="1" ht="15">
      <c r="A25" s="27"/>
      <c r="B25" s="29" t="s">
        <v>45</v>
      </c>
      <c r="C25" s="30">
        <f>SUM(C9:C24)</f>
        <v>233321</v>
      </c>
      <c r="D25" s="30">
        <f>SUM(D9:D24)</f>
        <v>30081.17</v>
      </c>
      <c r="E25" s="30">
        <f>SUM(E9:E24)</f>
        <v>25820</v>
      </c>
      <c r="F25" s="31">
        <f>SUM(F9:F24)</f>
        <v>17889.82</v>
      </c>
      <c r="G25" s="30">
        <v>50637</v>
      </c>
      <c r="H25" s="30">
        <f aca="true" t="shared" si="0" ref="H25:R25">SUM(H9:H24)</f>
        <v>51333.14000000001</v>
      </c>
      <c r="I25" s="32">
        <f t="shared" si="0"/>
        <v>49166.21</v>
      </c>
      <c r="J25" s="30">
        <f t="shared" si="0"/>
        <v>74382</v>
      </c>
      <c r="K25" s="30">
        <f t="shared" si="0"/>
        <v>74382</v>
      </c>
      <c r="L25" s="32">
        <f t="shared" si="0"/>
        <v>70881.96</v>
      </c>
      <c r="M25" s="30">
        <f t="shared" si="0"/>
        <v>67179.33</v>
      </c>
      <c r="N25" s="33">
        <f t="shared" si="0"/>
        <v>60512.2</v>
      </c>
      <c r="O25" s="30">
        <f t="shared" si="0"/>
        <v>47791.26</v>
      </c>
      <c r="P25" s="30">
        <f t="shared" si="0"/>
        <v>59443.43</v>
      </c>
      <c r="Q25" s="30">
        <f t="shared" si="0"/>
        <v>59443.43</v>
      </c>
      <c r="R25" s="30">
        <f t="shared" si="0"/>
        <v>51579.909999999996</v>
      </c>
    </row>
    <row r="26" spans="1:18" ht="15">
      <c r="A26" s="27"/>
      <c r="B26" s="20"/>
      <c r="C26" s="25"/>
      <c r="D26" s="25"/>
      <c r="E26" s="25"/>
      <c r="F26" s="35"/>
      <c r="G26" s="25"/>
      <c r="H26" s="25"/>
      <c r="I26" s="16"/>
      <c r="J26" s="25"/>
      <c r="K26" s="25"/>
      <c r="L26" s="32"/>
      <c r="M26" s="25"/>
      <c r="N26" s="16"/>
      <c r="O26" s="30"/>
      <c r="P26" s="25"/>
      <c r="Q26" s="25"/>
      <c r="R26" s="30"/>
    </row>
    <row r="27" spans="1:18" ht="15">
      <c r="A27" s="27" t="s">
        <v>46</v>
      </c>
      <c r="B27" s="13" t="s">
        <v>129</v>
      </c>
      <c r="C27" s="25"/>
      <c r="D27" s="25"/>
      <c r="E27" s="25"/>
      <c r="F27" s="24"/>
      <c r="G27" s="25"/>
      <c r="H27" s="25"/>
      <c r="I27" s="16"/>
      <c r="J27" s="25"/>
      <c r="K27" s="25"/>
      <c r="L27" s="16"/>
      <c r="M27" s="25"/>
      <c r="N27" s="16"/>
      <c r="O27" s="25"/>
      <c r="P27" s="25"/>
      <c r="Q27" s="25"/>
      <c r="R27" s="25"/>
    </row>
    <row r="28" spans="1:18" ht="30">
      <c r="A28" s="27"/>
      <c r="B28" s="13" t="s">
        <v>130</v>
      </c>
      <c r="C28" s="25"/>
      <c r="D28" s="25"/>
      <c r="E28" s="25"/>
      <c r="F28" s="24"/>
      <c r="G28" s="25"/>
      <c r="H28" s="25"/>
      <c r="I28" s="16"/>
      <c r="J28" s="25"/>
      <c r="K28" s="25"/>
      <c r="L28" s="16"/>
      <c r="M28" s="25"/>
      <c r="N28" s="16"/>
      <c r="O28" s="25"/>
      <c r="P28" s="25"/>
      <c r="Q28" s="25"/>
      <c r="R28" s="25"/>
    </row>
    <row r="29" spans="1:18" ht="15">
      <c r="A29" s="27"/>
      <c r="B29" s="20" t="s">
        <v>47</v>
      </c>
      <c r="C29" s="21">
        <v>0</v>
      </c>
      <c r="D29" s="26">
        <v>0</v>
      </c>
      <c r="E29" s="23">
        <v>0</v>
      </c>
      <c r="F29" s="24">
        <v>0</v>
      </c>
      <c r="G29" s="23">
        <v>0</v>
      </c>
      <c r="H29" s="23">
        <v>0</v>
      </c>
      <c r="I29" s="28">
        <v>0</v>
      </c>
      <c r="J29" s="23">
        <v>0</v>
      </c>
      <c r="K29" s="23">
        <v>0</v>
      </c>
      <c r="L29" s="28">
        <v>0</v>
      </c>
      <c r="M29" s="23">
        <v>0</v>
      </c>
      <c r="N29" s="16">
        <v>0</v>
      </c>
      <c r="O29" s="23">
        <v>0</v>
      </c>
      <c r="P29" s="25">
        <v>0</v>
      </c>
      <c r="Q29" s="25">
        <v>0</v>
      </c>
      <c r="R29" s="23">
        <v>0</v>
      </c>
    </row>
    <row r="30" spans="1:18" ht="15">
      <c r="A30" s="27"/>
      <c r="B30" s="20" t="s">
        <v>48</v>
      </c>
      <c r="C30" s="23">
        <v>0</v>
      </c>
      <c r="D30" s="26">
        <v>0</v>
      </c>
      <c r="E30" s="23">
        <v>0</v>
      </c>
      <c r="F30" s="24">
        <v>0</v>
      </c>
      <c r="G30" s="23">
        <v>0</v>
      </c>
      <c r="H30" s="23">
        <v>0</v>
      </c>
      <c r="I30" s="28">
        <v>0</v>
      </c>
      <c r="J30" s="23">
        <v>0</v>
      </c>
      <c r="K30" s="23">
        <v>0</v>
      </c>
      <c r="L30" s="28">
        <v>0</v>
      </c>
      <c r="M30" s="23">
        <v>0</v>
      </c>
      <c r="N30" s="16">
        <v>0</v>
      </c>
      <c r="O30" s="23">
        <v>0</v>
      </c>
      <c r="P30" s="25">
        <v>0</v>
      </c>
      <c r="Q30" s="25">
        <v>0</v>
      </c>
      <c r="R30" s="23">
        <v>0</v>
      </c>
    </row>
    <row r="31" spans="1:18" ht="30">
      <c r="A31" s="27"/>
      <c r="B31" s="20" t="s">
        <v>49</v>
      </c>
      <c r="C31" s="25">
        <v>400</v>
      </c>
      <c r="D31" s="22">
        <v>84.01</v>
      </c>
      <c r="E31" s="23">
        <v>80</v>
      </c>
      <c r="F31" s="24">
        <v>80</v>
      </c>
      <c r="G31" s="23">
        <v>80</v>
      </c>
      <c r="H31" s="25">
        <v>80</v>
      </c>
      <c r="I31" s="16">
        <v>106.04</v>
      </c>
      <c r="J31" s="25">
        <v>80</v>
      </c>
      <c r="K31" s="25">
        <v>80</v>
      </c>
      <c r="L31" s="16">
        <v>111.5</v>
      </c>
      <c r="M31" s="25">
        <v>80</v>
      </c>
      <c r="N31" s="16">
        <v>70</v>
      </c>
      <c r="O31" s="25">
        <v>0</v>
      </c>
      <c r="P31" s="25">
        <v>80</v>
      </c>
      <c r="Q31" s="25">
        <v>80</v>
      </c>
      <c r="R31" s="25">
        <v>0</v>
      </c>
    </row>
    <row r="32" spans="1:18" ht="30">
      <c r="A32" s="27"/>
      <c r="B32" s="20" t="s">
        <v>50</v>
      </c>
      <c r="C32" s="23">
        <v>0</v>
      </c>
      <c r="D32" s="22">
        <v>0</v>
      </c>
      <c r="E32" s="23">
        <v>0</v>
      </c>
      <c r="F32" s="24">
        <v>0</v>
      </c>
      <c r="G32" s="23">
        <v>0</v>
      </c>
      <c r="H32" s="23">
        <v>0</v>
      </c>
      <c r="I32" s="28">
        <v>0</v>
      </c>
      <c r="J32" s="23">
        <v>0</v>
      </c>
      <c r="K32" s="23">
        <v>0</v>
      </c>
      <c r="L32" s="28">
        <v>0</v>
      </c>
      <c r="M32" s="23">
        <v>0</v>
      </c>
      <c r="N32" s="16">
        <v>0</v>
      </c>
      <c r="O32" s="23">
        <v>0</v>
      </c>
      <c r="P32" s="25">
        <v>0</v>
      </c>
      <c r="Q32" s="25">
        <v>0</v>
      </c>
      <c r="R32" s="23">
        <v>0</v>
      </c>
    </row>
    <row r="33" spans="1:18" ht="30">
      <c r="A33" s="27"/>
      <c r="B33" s="20" t="s">
        <v>51</v>
      </c>
      <c r="C33" s="23">
        <v>0</v>
      </c>
      <c r="D33" s="26">
        <v>0</v>
      </c>
      <c r="E33" s="23">
        <v>0</v>
      </c>
      <c r="F33" s="24">
        <v>0</v>
      </c>
      <c r="G33" s="23">
        <v>0</v>
      </c>
      <c r="H33" s="23">
        <v>0</v>
      </c>
      <c r="I33" s="28">
        <v>0</v>
      </c>
      <c r="J33" s="23">
        <v>0</v>
      </c>
      <c r="K33" s="23">
        <v>0</v>
      </c>
      <c r="L33" s="28">
        <v>0</v>
      </c>
      <c r="M33" s="23">
        <v>0</v>
      </c>
      <c r="N33" s="16">
        <v>0</v>
      </c>
      <c r="O33" s="23">
        <v>0</v>
      </c>
      <c r="P33" s="25">
        <v>0</v>
      </c>
      <c r="Q33" s="25">
        <v>0</v>
      </c>
      <c r="R33" s="23">
        <v>0</v>
      </c>
    </row>
    <row r="34" spans="1:18" ht="15">
      <c r="A34" s="27"/>
      <c r="B34" s="20" t="s">
        <v>52</v>
      </c>
      <c r="C34" s="23">
        <v>0</v>
      </c>
      <c r="D34" s="26">
        <v>0</v>
      </c>
      <c r="E34" s="25">
        <v>0</v>
      </c>
      <c r="F34" s="24">
        <v>0</v>
      </c>
      <c r="G34" s="25">
        <v>0</v>
      </c>
      <c r="H34" s="23">
        <v>0</v>
      </c>
      <c r="I34" s="28">
        <v>0</v>
      </c>
      <c r="J34" s="23">
        <v>0</v>
      </c>
      <c r="K34" s="23">
        <v>0</v>
      </c>
      <c r="L34" s="28">
        <v>0</v>
      </c>
      <c r="M34" s="23">
        <v>0</v>
      </c>
      <c r="N34" s="16">
        <v>0</v>
      </c>
      <c r="O34" s="23">
        <v>0</v>
      </c>
      <c r="P34" s="25">
        <v>0</v>
      </c>
      <c r="Q34" s="25">
        <v>0</v>
      </c>
      <c r="R34" s="23">
        <v>0</v>
      </c>
    </row>
    <row r="35" spans="1:18" ht="15">
      <c r="A35" s="27"/>
      <c r="B35" s="20" t="s">
        <v>53</v>
      </c>
      <c r="C35" s="36">
        <f>315814+20760+1645+341</f>
        <v>338560</v>
      </c>
      <c r="D35" s="22">
        <f>34239.56+345.48+3656.45+48.3</f>
        <v>38289.79</v>
      </c>
      <c r="E35" s="25">
        <v>18627</v>
      </c>
      <c r="F35" s="24">
        <f>16903.39+11728.81+11635+22.05+107.34</f>
        <v>40396.59</v>
      </c>
      <c r="G35" s="25">
        <v>0</v>
      </c>
      <c r="H35" s="25">
        <v>63063.43</v>
      </c>
      <c r="I35" s="16">
        <f>33035.78+21230.41+20.77+245.15</f>
        <v>54532.11</v>
      </c>
      <c r="J35" s="25">
        <f>9687.03+11811.05+42692+23.2+200</f>
        <v>64413.28</v>
      </c>
      <c r="K35" s="25">
        <f>9687.03+12014.05+42692+23.2+200</f>
        <v>64616.28</v>
      </c>
      <c r="L35" s="16">
        <f>19662.85+32019+15.78+200</f>
        <v>51897.63</v>
      </c>
      <c r="M35" s="25">
        <f>7558.63+11811.05+44153.4+23.2+200</f>
        <v>63746.28</v>
      </c>
      <c r="N35" s="16">
        <f>11587.96+12709.38+33115.05+23.2+200</f>
        <v>57635.59</v>
      </c>
      <c r="O35" s="25">
        <f>46824.91+33115.05+30.5+200</f>
        <v>80170.46</v>
      </c>
      <c r="P35" s="25">
        <f>76972.14+29861+23.2+200</f>
        <v>107056.34</v>
      </c>
      <c r="Q35" s="25">
        <f>76972.14+29861+23.2+200</f>
        <v>107056.34</v>
      </c>
      <c r="R35" s="25">
        <f>99954.4+28014+69.21+216</f>
        <v>128253.61</v>
      </c>
    </row>
    <row r="36" spans="1:18" ht="15">
      <c r="A36" s="27"/>
      <c r="B36" s="13" t="s">
        <v>131</v>
      </c>
      <c r="C36" s="25"/>
      <c r="D36" s="25"/>
      <c r="E36" s="25"/>
      <c r="F36" s="24"/>
      <c r="G36" s="25"/>
      <c r="H36" s="25"/>
      <c r="I36" s="16"/>
      <c r="J36" s="25"/>
      <c r="K36" s="25"/>
      <c r="L36" s="16"/>
      <c r="M36" s="25"/>
      <c r="N36" s="16"/>
      <c r="O36" s="25"/>
      <c r="P36" s="25"/>
      <c r="Q36" s="25"/>
      <c r="R36" s="25"/>
    </row>
    <row r="37" spans="1:18" ht="15">
      <c r="A37" s="27"/>
      <c r="B37" s="20" t="s">
        <v>54</v>
      </c>
      <c r="C37" s="21">
        <v>47953</v>
      </c>
      <c r="D37" s="22">
        <v>10071.1</v>
      </c>
      <c r="E37" s="23">
        <v>8129</v>
      </c>
      <c r="F37" s="24">
        <v>0</v>
      </c>
      <c r="G37" s="23">
        <v>0</v>
      </c>
      <c r="H37" s="25">
        <v>8335.46</v>
      </c>
      <c r="I37" s="16">
        <v>11232.61</v>
      </c>
      <c r="J37" s="25">
        <v>8535.46</v>
      </c>
      <c r="K37" s="25">
        <v>8535.46</v>
      </c>
      <c r="L37" s="16">
        <v>8785.5</v>
      </c>
      <c r="M37" s="25">
        <v>8535.46</v>
      </c>
      <c r="N37" s="16">
        <v>8535.46</v>
      </c>
      <c r="O37" s="25">
        <v>10036.33</v>
      </c>
      <c r="P37" s="25">
        <v>8535.46</v>
      </c>
      <c r="Q37" s="25">
        <v>8535.46</v>
      </c>
      <c r="R37" s="25">
        <v>9283.26</v>
      </c>
    </row>
    <row r="38" spans="1:18" ht="15">
      <c r="A38" s="27"/>
      <c r="B38" s="20" t="s">
        <v>55</v>
      </c>
      <c r="C38" s="25">
        <v>0</v>
      </c>
      <c r="D38" s="22">
        <v>0</v>
      </c>
      <c r="E38" s="23">
        <v>0</v>
      </c>
      <c r="F38" s="24">
        <v>0</v>
      </c>
      <c r="G38" s="37">
        <v>0</v>
      </c>
      <c r="H38" s="25"/>
      <c r="I38" s="16"/>
      <c r="J38" s="25"/>
      <c r="K38" s="25"/>
      <c r="L38" s="16"/>
      <c r="M38" s="25"/>
      <c r="N38" s="16">
        <v>0</v>
      </c>
      <c r="O38" s="25">
        <v>0</v>
      </c>
      <c r="P38" s="25">
        <v>0</v>
      </c>
      <c r="Q38" s="25">
        <v>0</v>
      </c>
      <c r="R38" s="25">
        <v>0</v>
      </c>
    </row>
    <row r="39" spans="1:18" ht="15">
      <c r="A39" s="27"/>
      <c r="B39" s="13" t="s">
        <v>56</v>
      </c>
      <c r="C39" s="21">
        <v>658</v>
      </c>
      <c r="D39" s="22">
        <v>102.91</v>
      </c>
      <c r="E39" s="23">
        <v>47</v>
      </c>
      <c r="F39" s="24">
        <v>46.45</v>
      </c>
      <c r="G39" s="37">
        <v>72</v>
      </c>
      <c r="H39" s="25">
        <v>50</v>
      </c>
      <c r="I39" s="16">
        <v>37.54</v>
      </c>
      <c r="J39" s="25">
        <v>622.4</v>
      </c>
      <c r="K39" s="25">
        <v>622.4</v>
      </c>
      <c r="L39" s="16">
        <v>710.44</v>
      </c>
      <c r="M39" s="25">
        <v>1122.4</v>
      </c>
      <c r="N39" s="16">
        <v>1697.39</v>
      </c>
      <c r="O39" s="25">
        <v>1343.52</v>
      </c>
      <c r="P39" s="25">
        <v>2300</v>
      </c>
      <c r="Q39" s="25">
        <v>2300</v>
      </c>
      <c r="R39" s="25">
        <v>973.29</v>
      </c>
    </row>
    <row r="40" spans="1:18" ht="15">
      <c r="A40" s="27"/>
      <c r="B40" s="13" t="s">
        <v>132</v>
      </c>
      <c r="C40" s="21"/>
      <c r="D40" s="26"/>
      <c r="E40" s="25"/>
      <c r="F40" s="24"/>
      <c r="G40" s="37"/>
      <c r="H40" s="25"/>
      <c r="I40" s="16"/>
      <c r="J40" s="25"/>
      <c r="K40" s="25"/>
      <c r="L40" s="16"/>
      <c r="M40" s="25"/>
      <c r="N40" s="16"/>
      <c r="O40" s="25"/>
      <c r="P40" s="25"/>
      <c r="Q40" s="25"/>
      <c r="R40" s="25"/>
    </row>
    <row r="41" spans="1:18" ht="15">
      <c r="A41" s="27"/>
      <c r="B41" s="20" t="s">
        <v>57</v>
      </c>
      <c r="C41" s="21"/>
      <c r="D41" s="22">
        <v>295.08</v>
      </c>
      <c r="E41" s="23">
        <v>7629</v>
      </c>
      <c r="F41" s="24">
        <v>5439.94</v>
      </c>
      <c r="G41" s="37">
        <v>10503</v>
      </c>
      <c r="H41" s="25">
        <v>5925.56</v>
      </c>
      <c r="I41" s="16">
        <v>5428.05</v>
      </c>
      <c r="J41" s="25">
        <v>5702.56</v>
      </c>
      <c r="K41" s="25">
        <v>5702.56</v>
      </c>
      <c r="L41" s="16">
        <v>5774.56</v>
      </c>
      <c r="M41" s="25">
        <v>3202.56</v>
      </c>
      <c r="N41" s="16">
        <v>3202.56</v>
      </c>
      <c r="O41" s="25">
        <v>5644.6</v>
      </c>
      <c r="P41" s="25">
        <v>3602.56</v>
      </c>
      <c r="Q41" s="25">
        <v>3602.56</v>
      </c>
      <c r="R41" s="25">
        <v>6677.39</v>
      </c>
    </row>
    <row r="42" spans="1:18" ht="30">
      <c r="A42" s="27"/>
      <c r="B42" s="20" t="s">
        <v>58</v>
      </c>
      <c r="C42" s="21">
        <f>1095+70541</f>
        <v>71636</v>
      </c>
      <c r="D42" s="22">
        <v>15205</v>
      </c>
      <c r="E42" s="23">
        <v>13100</v>
      </c>
      <c r="F42" s="24">
        <v>7073.16</v>
      </c>
      <c r="G42" s="37">
        <v>55487</v>
      </c>
      <c r="H42" s="25"/>
      <c r="I42" s="16">
        <v>29.84</v>
      </c>
      <c r="J42" s="25">
        <v>500</v>
      </c>
      <c r="K42" s="25">
        <v>500</v>
      </c>
      <c r="L42" s="16"/>
      <c r="M42" s="25">
        <v>667</v>
      </c>
      <c r="N42" s="16">
        <v>667</v>
      </c>
      <c r="O42" s="25">
        <v>0</v>
      </c>
      <c r="P42" s="25">
        <v>1300</v>
      </c>
      <c r="Q42" s="25">
        <v>1300</v>
      </c>
      <c r="R42" s="25">
        <v>479.34</v>
      </c>
    </row>
    <row r="43" spans="1:18" s="34" customFormat="1" ht="15">
      <c r="A43" s="27"/>
      <c r="B43" s="29" t="s">
        <v>59</v>
      </c>
      <c r="C43" s="30">
        <f aca="true" t="shared" si="1" ref="C43:M43">SUM(C29:C42)</f>
        <v>459207</v>
      </c>
      <c r="D43" s="38">
        <f t="shared" si="1"/>
        <v>64047.89000000001</v>
      </c>
      <c r="E43" s="38">
        <f t="shared" si="1"/>
        <v>47612</v>
      </c>
      <c r="F43" s="31">
        <f t="shared" si="1"/>
        <v>53036.14</v>
      </c>
      <c r="G43" s="38">
        <f t="shared" si="1"/>
        <v>66142</v>
      </c>
      <c r="H43" s="38">
        <f t="shared" si="1"/>
        <v>77454.45</v>
      </c>
      <c r="I43" s="39">
        <f t="shared" si="1"/>
        <v>71366.19</v>
      </c>
      <c r="J43" s="38">
        <f t="shared" si="1"/>
        <v>79853.69999999998</v>
      </c>
      <c r="K43" s="38">
        <f t="shared" si="1"/>
        <v>80056.69999999998</v>
      </c>
      <c r="L43" s="39">
        <f t="shared" si="1"/>
        <v>67279.63</v>
      </c>
      <c r="M43" s="38">
        <f t="shared" si="1"/>
        <v>77353.69999999998</v>
      </c>
      <c r="N43" s="40">
        <f>SUM(N28:N42)</f>
        <v>71807.99999999999</v>
      </c>
      <c r="O43" s="38">
        <f>SUM(O29:O42)</f>
        <v>97194.91000000002</v>
      </c>
      <c r="P43" s="30">
        <f>SUM(P29:P42)</f>
        <v>122874.35999999999</v>
      </c>
      <c r="Q43" s="30">
        <f>SUM(Q29:Q42)</f>
        <v>122874.35999999999</v>
      </c>
      <c r="R43" s="38">
        <f>SUM(R29:R42)</f>
        <v>145666.89</v>
      </c>
    </row>
    <row r="44" spans="1:18" ht="15">
      <c r="A44" s="27"/>
      <c r="B44" s="20"/>
      <c r="C44" s="41"/>
      <c r="D44" s="41"/>
      <c r="E44" s="41"/>
      <c r="F44" s="35"/>
      <c r="G44" s="25"/>
      <c r="H44" s="25"/>
      <c r="I44" s="16"/>
      <c r="J44" s="25"/>
      <c r="K44" s="25"/>
      <c r="L44" s="39"/>
      <c r="M44" s="25"/>
      <c r="N44" s="16"/>
      <c r="O44" s="38"/>
      <c r="P44" s="25"/>
      <c r="Q44" s="25"/>
      <c r="R44" s="38"/>
    </row>
    <row r="45" spans="1:18" ht="15">
      <c r="A45" s="27" t="s">
        <v>60</v>
      </c>
      <c r="B45" s="13" t="s">
        <v>133</v>
      </c>
      <c r="C45" s="42">
        <v>112352</v>
      </c>
      <c r="D45" s="30">
        <v>15851.26</v>
      </c>
      <c r="E45" s="30">
        <v>18035</v>
      </c>
      <c r="F45" s="31">
        <v>18035</v>
      </c>
      <c r="G45" s="30">
        <v>26035</v>
      </c>
      <c r="H45" s="30">
        <v>20007.37</v>
      </c>
      <c r="I45" s="32">
        <v>12583.64</v>
      </c>
      <c r="J45" s="30">
        <v>25106</v>
      </c>
      <c r="K45" s="30">
        <v>26795</v>
      </c>
      <c r="L45" s="32">
        <v>2605.35</v>
      </c>
      <c r="M45" s="30">
        <v>36425</v>
      </c>
      <c r="N45" s="33">
        <f>15000+14750+6675</f>
        <v>36425</v>
      </c>
      <c r="O45" s="30">
        <v>22068.74</v>
      </c>
      <c r="P45" s="30">
        <v>38750</v>
      </c>
      <c r="Q45" s="30">
        <v>38750</v>
      </c>
      <c r="R45" s="30">
        <v>42357.6</v>
      </c>
    </row>
    <row r="46" spans="1:18" ht="15">
      <c r="A46" s="43"/>
      <c r="B46" s="20"/>
      <c r="C46" s="25"/>
      <c r="D46" s="25"/>
      <c r="E46" s="25"/>
      <c r="F46" s="24"/>
      <c r="G46" s="25"/>
      <c r="H46" s="25"/>
      <c r="I46" s="16"/>
      <c r="J46" s="25"/>
      <c r="K46" s="25"/>
      <c r="L46" s="16"/>
      <c r="M46" s="25"/>
      <c r="N46" s="16"/>
      <c r="O46" s="25"/>
      <c r="P46" s="25"/>
      <c r="Q46" s="25"/>
      <c r="R46" s="25"/>
    </row>
    <row r="47" spans="1:18" ht="15">
      <c r="A47" s="27" t="s">
        <v>61</v>
      </c>
      <c r="B47" s="13" t="s">
        <v>134</v>
      </c>
      <c r="C47" s="25"/>
      <c r="D47" s="25"/>
      <c r="E47" s="25"/>
      <c r="F47" s="24"/>
      <c r="G47" s="25"/>
      <c r="H47" s="25"/>
      <c r="I47" s="16"/>
      <c r="J47" s="25"/>
      <c r="K47" s="25"/>
      <c r="L47" s="16"/>
      <c r="M47" s="25"/>
      <c r="N47" s="16"/>
      <c r="O47" s="25"/>
      <c r="P47" s="25"/>
      <c r="Q47" s="25"/>
      <c r="R47" s="25"/>
    </row>
    <row r="48" spans="1:18" ht="15">
      <c r="A48" s="27"/>
      <c r="B48" s="20" t="s">
        <v>62</v>
      </c>
      <c r="C48" s="21">
        <v>915384</v>
      </c>
      <c r="D48" s="22">
        <v>145901.14</v>
      </c>
      <c r="E48" s="23">
        <v>133176</v>
      </c>
      <c r="F48" s="24">
        <v>124630.22</v>
      </c>
      <c r="G48" s="37">
        <v>186164</v>
      </c>
      <c r="H48" s="25">
        <v>149792.57</v>
      </c>
      <c r="I48" s="16">
        <v>146083.73</v>
      </c>
      <c r="J48" s="25">
        <v>337086.76</v>
      </c>
      <c r="K48" s="25">
        <v>338557.82</v>
      </c>
      <c r="L48" s="16">
        <v>302505.46</v>
      </c>
      <c r="M48" s="25">
        <v>693345</v>
      </c>
      <c r="N48" s="16">
        <v>578834.1</v>
      </c>
      <c r="O48" s="25">
        <v>622600.73</v>
      </c>
      <c r="P48" s="25">
        <v>890731</v>
      </c>
      <c r="Q48" s="25">
        <v>890731</v>
      </c>
      <c r="R48" s="25">
        <v>847604.65</v>
      </c>
    </row>
    <row r="49" spans="1:18" ht="15">
      <c r="A49" s="27"/>
      <c r="B49" s="20" t="s">
        <v>63</v>
      </c>
      <c r="C49" s="21">
        <f>83978+15885+58178+2678</f>
        <v>160719</v>
      </c>
      <c r="D49" s="22">
        <v>30533.76</v>
      </c>
      <c r="E49" s="23">
        <v>25002</v>
      </c>
      <c r="F49" s="24">
        <v>19373.2</v>
      </c>
      <c r="G49" s="37">
        <v>27904</v>
      </c>
      <c r="H49" s="25">
        <v>29441.18</v>
      </c>
      <c r="I49" s="16">
        <v>27154.67</v>
      </c>
      <c r="J49" s="25">
        <v>54924.59</v>
      </c>
      <c r="K49" s="25">
        <v>53186.2</v>
      </c>
      <c r="L49" s="16">
        <v>37801.81</v>
      </c>
      <c r="M49" s="25">
        <v>61042.8</v>
      </c>
      <c r="N49" s="16">
        <v>61912.8</v>
      </c>
      <c r="O49" s="25">
        <f>33963+3592.73+290.2+803.51</f>
        <v>38649.44</v>
      </c>
      <c r="P49" s="25">
        <v>74100</v>
      </c>
      <c r="Q49" s="25">
        <v>74100</v>
      </c>
      <c r="R49" s="25">
        <v>51242.7</v>
      </c>
    </row>
    <row r="50" spans="1:18" ht="30">
      <c r="A50" s="27"/>
      <c r="B50" s="20" t="s">
        <v>64</v>
      </c>
      <c r="C50" s="21">
        <v>6622</v>
      </c>
      <c r="D50" s="22">
        <v>1079.5</v>
      </c>
      <c r="E50" s="23">
        <v>1358</v>
      </c>
      <c r="F50" s="24">
        <v>690.03</v>
      </c>
      <c r="G50" s="37">
        <v>797</v>
      </c>
      <c r="H50" s="25">
        <v>751.75</v>
      </c>
      <c r="I50" s="16">
        <v>454.32</v>
      </c>
      <c r="J50" s="25">
        <v>1012</v>
      </c>
      <c r="K50" s="25">
        <v>932</v>
      </c>
      <c r="L50" s="16">
        <v>589.52</v>
      </c>
      <c r="M50" s="25">
        <v>892</v>
      </c>
      <c r="N50" s="16">
        <v>892</v>
      </c>
      <c r="O50" s="25">
        <v>1319.89</v>
      </c>
      <c r="P50" s="25">
        <v>1625</v>
      </c>
      <c r="Q50" s="25">
        <v>1625</v>
      </c>
      <c r="R50" s="25">
        <v>1153.37</v>
      </c>
    </row>
    <row r="51" spans="1:18" ht="30">
      <c r="A51" s="27"/>
      <c r="B51" s="20" t="s">
        <v>65</v>
      </c>
      <c r="C51" s="21">
        <v>1773</v>
      </c>
      <c r="D51" s="22">
        <v>619.56</v>
      </c>
      <c r="E51" s="23">
        <v>4370</v>
      </c>
      <c r="F51" s="24">
        <v>4006.12</v>
      </c>
      <c r="G51" s="37">
        <v>2814</v>
      </c>
      <c r="H51" s="25">
        <v>2697.8</v>
      </c>
      <c r="I51" s="16">
        <v>743.72</v>
      </c>
      <c r="J51" s="25">
        <v>7228.54</v>
      </c>
      <c r="K51" s="25">
        <v>7575.87</v>
      </c>
      <c r="L51" s="16">
        <v>3512.32</v>
      </c>
      <c r="M51" s="25">
        <v>10000</v>
      </c>
      <c r="N51" s="16">
        <v>10000</v>
      </c>
      <c r="O51" s="25">
        <v>4635.24</v>
      </c>
      <c r="P51" s="25">
        <v>33544</v>
      </c>
      <c r="Q51" s="25">
        <v>33544</v>
      </c>
      <c r="R51" s="25">
        <v>12607.05</v>
      </c>
    </row>
    <row r="52" spans="1:18" s="34" customFormat="1" ht="15">
      <c r="A52" s="43"/>
      <c r="B52" s="29" t="s">
        <v>66</v>
      </c>
      <c r="C52" s="30">
        <f aca="true" t="shared" si="2" ref="C52:R52">SUM(C48:C51)</f>
        <v>1084498</v>
      </c>
      <c r="D52" s="30">
        <f t="shared" si="2"/>
        <v>178133.96000000002</v>
      </c>
      <c r="E52" s="38">
        <f t="shared" si="2"/>
        <v>163906</v>
      </c>
      <c r="F52" s="31">
        <f t="shared" si="2"/>
        <v>148699.57</v>
      </c>
      <c r="G52" s="30">
        <f t="shared" si="2"/>
        <v>217679</v>
      </c>
      <c r="H52" s="30">
        <f t="shared" si="2"/>
        <v>182683.3</v>
      </c>
      <c r="I52" s="32">
        <f t="shared" si="2"/>
        <v>174436.44000000003</v>
      </c>
      <c r="J52" s="30">
        <f t="shared" si="2"/>
        <v>400251.88999999996</v>
      </c>
      <c r="K52" s="30">
        <f t="shared" si="2"/>
        <v>400251.89</v>
      </c>
      <c r="L52" s="32">
        <f t="shared" si="2"/>
        <v>344409.11000000004</v>
      </c>
      <c r="M52" s="30">
        <f t="shared" si="2"/>
        <v>765279.8</v>
      </c>
      <c r="N52" s="32">
        <f t="shared" si="2"/>
        <v>651638.9</v>
      </c>
      <c r="O52" s="30">
        <f t="shared" si="2"/>
        <v>667205.2999999999</v>
      </c>
      <c r="P52" s="30">
        <f t="shared" si="2"/>
        <v>1000000</v>
      </c>
      <c r="Q52" s="30">
        <f t="shared" si="2"/>
        <v>1000000</v>
      </c>
      <c r="R52" s="30">
        <f t="shared" si="2"/>
        <v>912607.77</v>
      </c>
    </row>
    <row r="53" spans="1:18" ht="15">
      <c r="A53" s="27"/>
      <c r="B53" s="20"/>
      <c r="C53" s="25"/>
      <c r="D53" s="25"/>
      <c r="E53" s="25"/>
      <c r="F53" s="35"/>
      <c r="G53" s="25"/>
      <c r="H53" s="25"/>
      <c r="I53" s="16"/>
      <c r="J53" s="25"/>
      <c r="K53" s="25"/>
      <c r="L53" s="16"/>
      <c r="M53" s="25"/>
      <c r="N53" s="16"/>
      <c r="O53" s="25"/>
      <c r="P53" s="25"/>
      <c r="Q53" s="25"/>
      <c r="R53" s="25"/>
    </row>
    <row r="54" spans="1:18" ht="15">
      <c r="A54" s="27" t="s">
        <v>67</v>
      </c>
      <c r="B54" s="13" t="s">
        <v>135</v>
      </c>
      <c r="C54" s="25"/>
      <c r="D54" s="25"/>
      <c r="E54" s="25"/>
      <c r="F54" s="24"/>
      <c r="G54" s="25"/>
      <c r="H54" s="25"/>
      <c r="I54" s="16"/>
      <c r="J54" s="25"/>
      <c r="K54" s="25"/>
      <c r="L54" s="16"/>
      <c r="M54" s="25"/>
      <c r="N54" s="16"/>
      <c r="O54" s="25"/>
      <c r="P54" s="25"/>
      <c r="Q54" s="25"/>
      <c r="R54" s="25"/>
    </row>
    <row r="55" spans="1:18" ht="15">
      <c r="A55" s="27"/>
      <c r="B55" s="20" t="s">
        <v>68</v>
      </c>
      <c r="C55" s="21">
        <f>12640+99076+602231</f>
        <v>713947</v>
      </c>
      <c r="D55" s="22">
        <f>1890.18+27656+282722.35</f>
        <v>312268.52999999997</v>
      </c>
      <c r="E55" s="23">
        <v>228434</v>
      </c>
      <c r="F55" s="24">
        <f>2171.6+7624+206969.6+30.65</f>
        <v>216795.85</v>
      </c>
      <c r="G55" s="37">
        <f>1000+5966+210462+127</f>
        <v>217555</v>
      </c>
      <c r="H55" s="25">
        <v>201233.12</v>
      </c>
      <c r="I55" s="16">
        <f>1293.4+295340.58</f>
        <v>296633.98000000004</v>
      </c>
      <c r="J55" s="25">
        <f>2840+1500+208120+126</f>
        <v>212586</v>
      </c>
      <c r="K55" s="25">
        <f>2840+1500+208120+126</f>
        <v>212586</v>
      </c>
      <c r="L55" s="16">
        <f>2991.14+206501.2</f>
        <v>209492.34000000003</v>
      </c>
      <c r="M55" s="25">
        <f>2840+35000+13565+146</f>
        <v>51551</v>
      </c>
      <c r="N55" s="16">
        <v>2067.53</v>
      </c>
      <c r="O55" s="25">
        <f>1580.97+3955.62</f>
        <v>5536.59</v>
      </c>
      <c r="P55" s="25">
        <f>2840+19628.97</f>
        <v>22468.97</v>
      </c>
      <c r="Q55" s="25">
        <f>2840+19628.97</f>
        <v>22468.97</v>
      </c>
      <c r="R55" s="25">
        <f>2146.56+3550.57</f>
        <v>5697.13</v>
      </c>
    </row>
    <row r="56" spans="1:18" ht="15">
      <c r="A56" s="27"/>
      <c r="B56" s="20" t="s">
        <v>69</v>
      </c>
      <c r="C56" s="21">
        <v>225</v>
      </c>
      <c r="D56" s="22">
        <v>47.25</v>
      </c>
      <c r="E56" s="23">
        <v>16</v>
      </c>
      <c r="F56" s="24">
        <v>0</v>
      </c>
      <c r="G56" s="37">
        <v>0</v>
      </c>
      <c r="H56" s="23">
        <v>0</v>
      </c>
      <c r="I56" s="16">
        <v>169.11</v>
      </c>
      <c r="J56" s="23">
        <v>0</v>
      </c>
      <c r="K56" s="23">
        <v>0</v>
      </c>
      <c r="L56" s="16">
        <v>101</v>
      </c>
      <c r="M56" s="23">
        <v>0</v>
      </c>
      <c r="N56" s="16">
        <f>10008.41+146</f>
        <v>10154.41</v>
      </c>
      <c r="O56" s="25">
        <v>146</v>
      </c>
      <c r="P56" s="25">
        <v>196</v>
      </c>
      <c r="Q56" s="25">
        <v>196</v>
      </c>
      <c r="R56" s="25">
        <v>195</v>
      </c>
    </row>
    <row r="57" spans="1:18" s="34" customFormat="1" ht="15">
      <c r="A57" s="27"/>
      <c r="B57" s="29" t="s">
        <v>70</v>
      </c>
      <c r="C57" s="30">
        <f aca="true" t="shared" si="3" ref="C57:R57">SUM(C55:C56)</f>
        <v>714172</v>
      </c>
      <c r="D57" s="38">
        <f t="shared" si="3"/>
        <v>312315.77999999997</v>
      </c>
      <c r="E57" s="38">
        <f t="shared" si="3"/>
        <v>228450</v>
      </c>
      <c r="F57" s="31">
        <f t="shared" si="3"/>
        <v>216795.85</v>
      </c>
      <c r="G57" s="38">
        <f t="shared" si="3"/>
        <v>217555</v>
      </c>
      <c r="H57" s="38">
        <f t="shared" si="3"/>
        <v>201233.12</v>
      </c>
      <c r="I57" s="39">
        <f t="shared" si="3"/>
        <v>296803.09</v>
      </c>
      <c r="J57" s="38">
        <f t="shared" si="3"/>
        <v>212586</v>
      </c>
      <c r="K57" s="38">
        <f t="shared" si="3"/>
        <v>212586</v>
      </c>
      <c r="L57" s="39">
        <f t="shared" si="3"/>
        <v>209593.34000000003</v>
      </c>
      <c r="M57" s="38">
        <f t="shared" si="3"/>
        <v>51551</v>
      </c>
      <c r="N57" s="39">
        <f t="shared" si="3"/>
        <v>12221.94</v>
      </c>
      <c r="O57" s="38">
        <f t="shared" si="3"/>
        <v>5682.59</v>
      </c>
      <c r="P57" s="44">
        <f t="shared" si="3"/>
        <v>22664.97</v>
      </c>
      <c r="Q57" s="44">
        <f t="shared" si="3"/>
        <v>22664.97</v>
      </c>
      <c r="R57" s="38">
        <f t="shared" si="3"/>
        <v>5892.13</v>
      </c>
    </row>
    <row r="58" spans="1:18" ht="15">
      <c r="A58" s="27"/>
      <c r="B58" s="13"/>
      <c r="C58" s="25"/>
      <c r="D58" s="25"/>
      <c r="E58" s="25"/>
      <c r="F58" s="35"/>
      <c r="G58" s="25"/>
      <c r="H58" s="25"/>
      <c r="I58" s="16"/>
      <c r="J58" s="25"/>
      <c r="K58" s="25"/>
      <c r="L58" s="16"/>
      <c r="M58" s="25"/>
      <c r="N58" s="16"/>
      <c r="O58" s="25"/>
      <c r="P58" s="25"/>
      <c r="Q58" s="25"/>
      <c r="R58" s="25"/>
    </row>
    <row r="59" spans="1:18" ht="15">
      <c r="A59" s="27" t="s">
        <v>71</v>
      </c>
      <c r="B59" s="13" t="s">
        <v>136</v>
      </c>
      <c r="C59" s="25"/>
      <c r="D59" s="25"/>
      <c r="E59" s="25"/>
      <c r="F59" s="24"/>
      <c r="G59" s="25"/>
      <c r="H59" s="25"/>
      <c r="I59" s="16"/>
      <c r="J59" s="25"/>
      <c r="K59" s="25"/>
      <c r="L59" s="16"/>
      <c r="M59" s="25"/>
      <c r="N59" s="16"/>
      <c r="O59" s="25"/>
      <c r="P59" s="25"/>
      <c r="Q59" s="25"/>
      <c r="R59" s="25"/>
    </row>
    <row r="60" spans="1:18" ht="15">
      <c r="A60" s="27"/>
      <c r="B60" s="20" t="s">
        <v>72</v>
      </c>
      <c r="C60" s="21">
        <f>24500+200+7852+18611</f>
        <v>51163</v>
      </c>
      <c r="D60" s="22">
        <v>10385.48</v>
      </c>
      <c r="E60" s="23">
        <v>12937</v>
      </c>
      <c r="F60" s="24">
        <v>11085.93</v>
      </c>
      <c r="G60" s="37">
        <v>10302</v>
      </c>
      <c r="H60" s="25">
        <v>8751.86</v>
      </c>
      <c r="I60" s="16">
        <v>10065.18</v>
      </c>
      <c r="J60" s="25">
        <v>10201.64</v>
      </c>
      <c r="K60" s="25">
        <v>10201.64</v>
      </c>
      <c r="L60" s="16">
        <v>10665.93</v>
      </c>
      <c r="M60" s="25">
        <v>12201.64</v>
      </c>
      <c r="N60" s="16">
        <v>12304.83</v>
      </c>
      <c r="O60" s="25">
        <f>3038.12+203+5846.81+3725.85</f>
        <v>12813.78</v>
      </c>
      <c r="P60" s="25">
        <v>14951.64</v>
      </c>
      <c r="Q60" s="25">
        <v>14951.64</v>
      </c>
      <c r="R60" s="25">
        <v>13614.01</v>
      </c>
    </row>
    <row r="61" spans="1:18" ht="15">
      <c r="A61" s="27"/>
      <c r="B61" s="20" t="s">
        <v>73</v>
      </c>
      <c r="C61" s="21">
        <v>112348</v>
      </c>
      <c r="D61" s="22">
        <v>30676.58</v>
      </c>
      <c r="E61" s="23">
        <v>31377</v>
      </c>
      <c r="F61" s="24">
        <v>18367.78</v>
      </c>
      <c r="G61" s="37">
        <v>47929</v>
      </c>
      <c r="H61" s="25">
        <v>15946.48</v>
      </c>
      <c r="I61" s="16">
        <v>21492.85</v>
      </c>
      <c r="J61" s="45">
        <v>14428.1</v>
      </c>
      <c r="K61" s="45">
        <v>14428.1</v>
      </c>
      <c r="L61" s="16">
        <v>10018.63</v>
      </c>
      <c r="M61" s="25">
        <v>23928.1</v>
      </c>
      <c r="N61" s="16">
        <v>11127.36</v>
      </c>
      <c r="O61" s="25">
        <f>10442.96+1745+1055.57+465</f>
        <v>13708.529999999999</v>
      </c>
      <c r="P61" s="25">
        <v>20505</v>
      </c>
      <c r="Q61" s="25">
        <v>20505</v>
      </c>
      <c r="R61" s="25">
        <v>6383.55</v>
      </c>
    </row>
    <row r="62" spans="1:18" ht="15">
      <c r="A62" s="27"/>
      <c r="B62" s="20" t="s">
        <v>74</v>
      </c>
      <c r="C62" s="21">
        <v>2000</v>
      </c>
      <c r="D62" s="22">
        <v>375.94</v>
      </c>
      <c r="E62" s="23">
        <v>264</v>
      </c>
      <c r="F62" s="24">
        <v>248.57</v>
      </c>
      <c r="G62" s="37">
        <v>292</v>
      </c>
      <c r="H62" s="25">
        <v>292.25</v>
      </c>
      <c r="I62" s="16">
        <v>281.75</v>
      </c>
      <c r="J62" s="25">
        <v>381</v>
      </c>
      <c r="K62" s="25">
        <v>381</v>
      </c>
      <c r="L62" s="16">
        <v>278.23</v>
      </c>
      <c r="M62" s="25">
        <v>381</v>
      </c>
      <c r="N62" s="16">
        <v>381</v>
      </c>
      <c r="O62" s="25">
        <v>357.16</v>
      </c>
      <c r="P62" s="25">
        <v>381</v>
      </c>
      <c r="Q62" s="25">
        <v>381</v>
      </c>
      <c r="R62" s="25">
        <v>431.37</v>
      </c>
    </row>
    <row r="63" spans="1:18" s="34" customFormat="1" ht="15">
      <c r="A63" s="27"/>
      <c r="B63" s="29" t="s">
        <v>75</v>
      </c>
      <c r="C63" s="30">
        <f>SUM(C60:C62)</f>
        <v>165511</v>
      </c>
      <c r="D63" s="30">
        <f>SUM(D60:D62)</f>
        <v>41438</v>
      </c>
      <c r="E63" s="30">
        <f>SUM(E60:E62)</f>
        <v>44578</v>
      </c>
      <c r="F63" s="31">
        <f>SUM(F60:F62)</f>
        <v>29702.28</v>
      </c>
      <c r="G63" s="30">
        <v>58522</v>
      </c>
      <c r="H63" s="30">
        <f aca="true" t="shared" si="4" ref="H63:R63">SUM(H60:H62)</f>
        <v>24990.59</v>
      </c>
      <c r="I63" s="32">
        <f t="shared" si="4"/>
        <v>31839.78</v>
      </c>
      <c r="J63" s="30">
        <f t="shared" si="4"/>
        <v>25010.739999999998</v>
      </c>
      <c r="K63" s="30">
        <f t="shared" si="4"/>
        <v>25010.739999999998</v>
      </c>
      <c r="L63" s="32">
        <f t="shared" si="4"/>
        <v>20962.789999999997</v>
      </c>
      <c r="M63" s="30">
        <f t="shared" si="4"/>
        <v>36510.74</v>
      </c>
      <c r="N63" s="32">
        <f t="shared" si="4"/>
        <v>23813.190000000002</v>
      </c>
      <c r="O63" s="30">
        <f t="shared" si="4"/>
        <v>26879.469999999998</v>
      </c>
      <c r="P63" s="30">
        <f t="shared" si="4"/>
        <v>35837.64</v>
      </c>
      <c r="Q63" s="30">
        <f t="shared" si="4"/>
        <v>35837.64</v>
      </c>
      <c r="R63" s="30">
        <f t="shared" si="4"/>
        <v>20428.93</v>
      </c>
    </row>
    <row r="64" spans="1:18" ht="15">
      <c r="A64" s="27"/>
      <c r="B64" s="13"/>
      <c r="C64" s="25"/>
      <c r="D64" s="25"/>
      <c r="E64" s="25"/>
      <c r="F64" s="35"/>
      <c r="G64" s="25"/>
      <c r="H64" s="25"/>
      <c r="I64" s="16"/>
      <c r="J64" s="25"/>
      <c r="K64" s="25"/>
      <c r="L64" s="16"/>
      <c r="M64" s="25"/>
      <c r="N64" s="16"/>
      <c r="O64" s="25"/>
      <c r="P64" s="25"/>
      <c r="Q64" s="25"/>
      <c r="R64" s="25"/>
    </row>
    <row r="65" spans="1:18" ht="15">
      <c r="A65" s="27" t="s">
        <v>76</v>
      </c>
      <c r="B65" s="13" t="s">
        <v>137</v>
      </c>
      <c r="C65" s="25"/>
      <c r="D65" s="25"/>
      <c r="E65" s="25"/>
      <c r="F65" s="24"/>
      <c r="G65" s="25"/>
      <c r="H65" s="25"/>
      <c r="I65" s="16"/>
      <c r="J65" s="25"/>
      <c r="K65" s="25"/>
      <c r="L65" s="16"/>
      <c r="M65" s="25"/>
      <c r="N65" s="16"/>
      <c r="O65" s="25"/>
      <c r="P65" s="25"/>
      <c r="Q65" s="25"/>
      <c r="R65" s="25"/>
    </row>
    <row r="66" spans="1:18" ht="15">
      <c r="A66" s="27"/>
      <c r="B66" s="20" t="s">
        <v>77</v>
      </c>
      <c r="C66" s="21">
        <v>338</v>
      </c>
      <c r="D66" s="25">
        <v>47.25</v>
      </c>
      <c r="E66" s="23">
        <v>1000</v>
      </c>
      <c r="F66" s="24">
        <v>2202.65</v>
      </c>
      <c r="G66" s="25">
        <v>5150</v>
      </c>
      <c r="H66" s="25">
        <v>200</v>
      </c>
      <c r="I66" s="16">
        <v>410.02</v>
      </c>
      <c r="J66" s="25">
        <v>5150</v>
      </c>
      <c r="K66" s="25">
        <v>5150</v>
      </c>
      <c r="L66" s="16">
        <v>3739.4</v>
      </c>
      <c r="M66" s="25">
        <v>5150</v>
      </c>
      <c r="N66" s="16">
        <v>5150</v>
      </c>
      <c r="O66" s="25">
        <v>3394.81</v>
      </c>
      <c r="P66" s="25">
        <v>5150</v>
      </c>
      <c r="Q66" s="25">
        <v>5150</v>
      </c>
      <c r="R66" s="25">
        <v>8712.5</v>
      </c>
    </row>
    <row r="67" spans="1:18" ht="15">
      <c r="A67" s="27"/>
      <c r="B67" s="20" t="s">
        <v>78</v>
      </c>
      <c r="C67" s="21">
        <v>0</v>
      </c>
      <c r="D67" s="22">
        <v>0</v>
      </c>
      <c r="E67" s="23">
        <v>0</v>
      </c>
      <c r="F67" s="24">
        <v>0</v>
      </c>
      <c r="G67" s="37">
        <v>0</v>
      </c>
      <c r="H67" s="23">
        <v>0</v>
      </c>
      <c r="I67" s="28">
        <v>0</v>
      </c>
      <c r="J67" s="23">
        <v>0</v>
      </c>
      <c r="K67" s="23">
        <v>0</v>
      </c>
      <c r="L67" s="28">
        <v>0</v>
      </c>
      <c r="M67" s="23">
        <v>0</v>
      </c>
      <c r="N67" s="16">
        <v>0</v>
      </c>
      <c r="O67" s="23">
        <v>0</v>
      </c>
      <c r="P67" s="25">
        <v>0</v>
      </c>
      <c r="Q67" s="25">
        <v>0</v>
      </c>
      <c r="R67" s="23">
        <v>0</v>
      </c>
    </row>
    <row r="68" spans="1:18" ht="15">
      <c r="A68" s="27"/>
      <c r="B68" s="20" t="s">
        <v>79</v>
      </c>
      <c r="C68" s="21">
        <f>249715+95465</f>
        <v>345180</v>
      </c>
      <c r="D68" s="22">
        <v>93642.67</v>
      </c>
      <c r="E68" s="23">
        <v>93581</v>
      </c>
      <c r="F68" s="24">
        <v>122537.18</v>
      </c>
      <c r="G68" s="37">
        <v>122851</v>
      </c>
      <c r="H68" s="25">
        <v>84330.64</v>
      </c>
      <c r="I68" s="16">
        <v>74241.41</v>
      </c>
      <c r="J68" s="25">
        <v>73110.07</v>
      </c>
      <c r="K68" s="25">
        <v>73110.07</v>
      </c>
      <c r="L68" s="16">
        <v>56572.35</v>
      </c>
      <c r="M68" s="25">
        <v>70830.13</v>
      </c>
      <c r="N68" s="16">
        <v>83963.29</v>
      </c>
      <c r="O68" s="25">
        <f>59095.36+24177.89+21808.05</f>
        <v>105081.3</v>
      </c>
      <c r="P68" s="25">
        <v>89379.13</v>
      </c>
      <c r="Q68" s="25">
        <v>89379.13</v>
      </c>
      <c r="R68" s="25">
        <v>123549.56</v>
      </c>
    </row>
    <row r="69" spans="1:18" ht="15">
      <c r="A69" s="27"/>
      <c r="B69" s="20" t="s">
        <v>80</v>
      </c>
      <c r="C69" s="21">
        <v>53216</v>
      </c>
      <c r="D69" s="22">
        <v>20510</v>
      </c>
      <c r="E69" s="23">
        <v>4341</v>
      </c>
      <c r="F69" s="24">
        <v>0</v>
      </c>
      <c r="G69" s="37">
        <v>5458</v>
      </c>
      <c r="H69" s="23">
        <v>0</v>
      </c>
      <c r="I69" s="28">
        <v>0</v>
      </c>
      <c r="J69" s="23">
        <v>0</v>
      </c>
      <c r="K69" s="23">
        <v>0</v>
      </c>
      <c r="L69" s="16">
        <v>1187.18</v>
      </c>
      <c r="M69" s="23">
        <v>0</v>
      </c>
      <c r="N69" s="16">
        <v>0</v>
      </c>
      <c r="O69" s="25">
        <v>0</v>
      </c>
      <c r="P69" s="25">
        <v>0</v>
      </c>
      <c r="Q69" s="25">
        <v>0</v>
      </c>
      <c r="R69" s="25">
        <v>0</v>
      </c>
    </row>
    <row r="70" spans="1:18" ht="15">
      <c r="A70" s="27"/>
      <c r="B70" s="20" t="s">
        <v>81</v>
      </c>
      <c r="C70" s="21">
        <v>100</v>
      </c>
      <c r="D70" s="22">
        <v>14.7</v>
      </c>
      <c r="E70" s="23">
        <v>0</v>
      </c>
      <c r="F70" s="24">
        <v>0</v>
      </c>
      <c r="G70" s="37">
        <v>0</v>
      </c>
      <c r="H70" s="23">
        <v>0</v>
      </c>
      <c r="I70" s="28">
        <v>0</v>
      </c>
      <c r="J70" s="23">
        <v>0</v>
      </c>
      <c r="K70" s="23">
        <v>0</v>
      </c>
      <c r="L70" s="28">
        <v>0</v>
      </c>
      <c r="M70" s="23">
        <v>0</v>
      </c>
      <c r="N70" s="16">
        <v>0</v>
      </c>
      <c r="O70" s="23">
        <v>0</v>
      </c>
      <c r="P70" s="25">
        <v>0</v>
      </c>
      <c r="Q70" s="25">
        <v>0</v>
      </c>
      <c r="R70" s="23">
        <v>0</v>
      </c>
    </row>
    <row r="71" spans="1:18" ht="15">
      <c r="A71" s="27"/>
      <c r="B71" s="20" t="s">
        <v>82</v>
      </c>
      <c r="C71" s="21">
        <v>585</v>
      </c>
      <c r="D71" s="22">
        <v>122.86</v>
      </c>
      <c r="E71" s="23">
        <v>1220</v>
      </c>
      <c r="F71" s="24">
        <f>8752.53+1206</f>
        <v>9958.53</v>
      </c>
      <c r="G71" s="37">
        <v>1244</v>
      </c>
      <c r="H71" s="25">
        <v>33.3</v>
      </c>
      <c r="I71" s="16">
        <v>1207.5</v>
      </c>
      <c r="J71" s="23">
        <v>0</v>
      </c>
      <c r="K71" s="23">
        <v>0</v>
      </c>
      <c r="L71" s="16">
        <v>1200</v>
      </c>
      <c r="M71" s="25">
        <v>1000</v>
      </c>
      <c r="N71" s="16">
        <v>500</v>
      </c>
      <c r="O71" s="25">
        <v>2832.13</v>
      </c>
      <c r="P71" s="25">
        <v>0</v>
      </c>
      <c r="Q71" s="25">
        <v>0</v>
      </c>
      <c r="R71" s="25">
        <v>0</v>
      </c>
    </row>
    <row r="72" spans="1:18" s="34" customFormat="1" ht="15">
      <c r="A72" s="27"/>
      <c r="B72" s="29" t="s">
        <v>83</v>
      </c>
      <c r="C72" s="30">
        <f>SUM(C66:C71)</f>
        <v>399419</v>
      </c>
      <c r="D72" s="30">
        <f>SUM(D66:D71)</f>
        <v>114337.48</v>
      </c>
      <c r="E72" s="30">
        <f>SUM(E66:E71)</f>
        <v>100142</v>
      </c>
      <c r="F72" s="31">
        <f>SUM(F66:F71)</f>
        <v>134698.36</v>
      </c>
      <c r="G72" s="30">
        <v>134704</v>
      </c>
      <c r="H72" s="30">
        <f aca="true" t="shared" si="5" ref="H72:R72">SUM(H66:H71)</f>
        <v>84563.94</v>
      </c>
      <c r="I72" s="32">
        <f t="shared" si="5"/>
        <v>75858.93000000001</v>
      </c>
      <c r="J72" s="30">
        <f t="shared" si="5"/>
        <v>78260.07</v>
      </c>
      <c r="K72" s="30">
        <f t="shared" si="5"/>
        <v>78260.07</v>
      </c>
      <c r="L72" s="32">
        <f t="shared" si="5"/>
        <v>62698.93</v>
      </c>
      <c r="M72" s="30">
        <f t="shared" si="5"/>
        <v>76980.13</v>
      </c>
      <c r="N72" s="32">
        <f t="shared" si="5"/>
        <v>89613.29</v>
      </c>
      <c r="O72" s="30">
        <f t="shared" si="5"/>
        <v>111308.24</v>
      </c>
      <c r="P72" s="30">
        <f t="shared" si="5"/>
        <v>94529.13</v>
      </c>
      <c r="Q72" s="30">
        <f t="shared" si="5"/>
        <v>94529.13</v>
      </c>
      <c r="R72" s="30">
        <f t="shared" si="5"/>
        <v>132262.06</v>
      </c>
    </row>
    <row r="73" spans="1:18" ht="15.75">
      <c r="A73" s="27"/>
      <c r="B73" s="13"/>
      <c r="C73" s="25"/>
      <c r="D73" s="25"/>
      <c r="E73" s="25"/>
      <c r="F73" s="35"/>
      <c r="G73" s="25"/>
      <c r="H73" s="25"/>
      <c r="I73" s="16"/>
      <c r="J73" s="25"/>
      <c r="K73" s="25"/>
      <c r="L73" s="46"/>
      <c r="M73" s="25"/>
      <c r="N73" s="16"/>
      <c r="O73" s="47"/>
      <c r="P73" s="25"/>
      <c r="Q73" s="25"/>
      <c r="R73" s="47"/>
    </row>
    <row r="74" spans="1:18" ht="15">
      <c r="A74" s="27" t="s">
        <v>84</v>
      </c>
      <c r="B74" s="13" t="s">
        <v>138</v>
      </c>
      <c r="C74" s="30">
        <v>0</v>
      </c>
      <c r="D74" s="30">
        <v>0</v>
      </c>
      <c r="E74" s="30">
        <v>0</v>
      </c>
      <c r="F74" s="31">
        <v>0</v>
      </c>
      <c r="G74" s="30">
        <v>0</v>
      </c>
      <c r="H74" s="30">
        <v>0</v>
      </c>
      <c r="I74" s="32">
        <v>0</v>
      </c>
      <c r="J74" s="30">
        <v>0</v>
      </c>
      <c r="K74" s="30">
        <v>0</v>
      </c>
      <c r="L74" s="32">
        <v>0</v>
      </c>
      <c r="M74" s="30">
        <v>0</v>
      </c>
      <c r="N74" s="32">
        <v>0</v>
      </c>
      <c r="O74" s="30">
        <v>0</v>
      </c>
      <c r="P74" s="30">
        <v>0</v>
      </c>
      <c r="Q74" s="30">
        <v>0</v>
      </c>
      <c r="R74" s="30">
        <v>0</v>
      </c>
    </row>
    <row r="75" spans="1:18" ht="15">
      <c r="A75" s="27"/>
      <c r="B75" s="13"/>
      <c r="C75" s="25"/>
      <c r="D75" s="25"/>
      <c r="E75" s="25"/>
      <c r="F75" s="35"/>
      <c r="G75" s="25"/>
      <c r="H75" s="25"/>
      <c r="I75" s="16"/>
      <c r="J75" s="25"/>
      <c r="K75" s="25"/>
      <c r="L75" s="16"/>
      <c r="M75" s="25"/>
      <c r="N75" s="16"/>
      <c r="O75" s="25"/>
      <c r="P75" s="25"/>
      <c r="Q75" s="25"/>
      <c r="R75" s="25"/>
    </row>
    <row r="76" spans="1:18" ht="15">
      <c r="A76" s="48" t="s">
        <v>85</v>
      </c>
      <c r="B76" s="13" t="s">
        <v>139</v>
      </c>
      <c r="C76" s="25"/>
      <c r="D76" s="25"/>
      <c r="E76" s="25"/>
      <c r="F76" s="24"/>
      <c r="G76" s="25"/>
      <c r="H76" s="25"/>
      <c r="I76" s="16"/>
      <c r="J76" s="25"/>
      <c r="K76" s="25"/>
      <c r="L76" s="16"/>
      <c r="M76" s="25"/>
      <c r="N76" s="16"/>
      <c r="O76" s="25"/>
      <c r="P76" s="25"/>
      <c r="Q76" s="25"/>
      <c r="R76" s="25"/>
    </row>
    <row r="77" spans="1:18" ht="15">
      <c r="A77" s="27"/>
      <c r="B77" s="20" t="s">
        <v>86</v>
      </c>
      <c r="C77" s="21">
        <v>500</v>
      </c>
      <c r="D77" s="22">
        <v>105.01</v>
      </c>
      <c r="E77" s="23">
        <v>20</v>
      </c>
      <c r="F77" s="24">
        <f>20+1.64</f>
        <v>21.64</v>
      </c>
      <c r="G77" s="37">
        <v>22</v>
      </c>
      <c r="H77" s="25">
        <v>17.04</v>
      </c>
      <c r="I77" s="16">
        <f>22.9+1.64</f>
        <v>24.54</v>
      </c>
      <c r="J77" s="25">
        <f>112+1.64</f>
        <v>113.64</v>
      </c>
      <c r="K77" s="25">
        <v>112</v>
      </c>
      <c r="L77" s="16">
        <f>70+1.64</f>
        <v>71.64</v>
      </c>
      <c r="M77" s="25">
        <f>70+1.64+42+103</f>
        <v>216.64</v>
      </c>
      <c r="N77" s="16">
        <f>70+1.64</f>
        <v>71.64</v>
      </c>
      <c r="O77" s="25">
        <f>70+1.64</f>
        <v>71.64</v>
      </c>
      <c r="P77" s="25">
        <f>70+1.64</f>
        <v>71.64</v>
      </c>
      <c r="Q77" s="25">
        <f>70+1.64</f>
        <v>71.64</v>
      </c>
      <c r="R77" s="25">
        <f>56.17+1.64</f>
        <v>57.81</v>
      </c>
    </row>
    <row r="78" spans="1:18" ht="15">
      <c r="A78" s="27"/>
      <c r="B78" s="20" t="s">
        <v>87</v>
      </c>
      <c r="C78" s="21">
        <f>250+225+25+50+70</f>
        <v>620</v>
      </c>
      <c r="D78" s="22">
        <f>52.51+78.76+5.25+10.5+14.7</f>
        <v>161.72</v>
      </c>
      <c r="E78" s="23">
        <v>2</v>
      </c>
      <c r="F78" s="24">
        <v>0</v>
      </c>
      <c r="G78" s="37">
        <v>0</v>
      </c>
      <c r="H78" s="25">
        <v>1.23</v>
      </c>
      <c r="I78" s="16">
        <v>4.81</v>
      </c>
      <c r="J78" s="25"/>
      <c r="K78" s="25">
        <v>1.64</v>
      </c>
      <c r="L78" s="16">
        <f>65.79+202.5</f>
        <v>268.29</v>
      </c>
      <c r="M78" s="25"/>
      <c r="N78" s="16">
        <f>77.25+42</f>
        <v>119.25</v>
      </c>
      <c r="O78" s="25">
        <f>40.77</f>
        <v>40.77</v>
      </c>
      <c r="P78" s="25">
        <v>42</v>
      </c>
      <c r="Q78" s="25">
        <v>42</v>
      </c>
      <c r="R78" s="25">
        <v>39.07</v>
      </c>
    </row>
    <row r="79" spans="1:18" s="34" customFormat="1" ht="15">
      <c r="A79" s="27"/>
      <c r="B79" s="29" t="s">
        <v>88</v>
      </c>
      <c r="C79" s="30">
        <f aca="true" t="shared" si="6" ref="C79:R79">SUM(C77:C78)</f>
        <v>1120</v>
      </c>
      <c r="D79" s="30">
        <f t="shared" si="6"/>
        <v>266.73</v>
      </c>
      <c r="E79" s="30">
        <f t="shared" si="6"/>
        <v>22</v>
      </c>
      <c r="F79" s="31">
        <f t="shared" si="6"/>
        <v>21.64</v>
      </c>
      <c r="G79" s="30">
        <f t="shared" si="6"/>
        <v>22</v>
      </c>
      <c r="H79" s="30">
        <f t="shared" si="6"/>
        <v>18.27</v>
      </c>
      <c r="I79" s="32">
        <f t="shared" si="6"/>
        <v>29.349999999999998</v>
      </c>
      <c r="J79" s="30">
        <f t="shared" si="6"/>
        <v>113.64</v>
      </c>
      <c r="K79" s="30">
        <f t="shared" si="6"/>
        <v>113.64</v>
      </c>
      <c r="L79" s="32">
        <f t="shared" si="6"/>
        <v>339.93</v>
      </c>
      <c r="M79" s="30">
        <f t="shared" si="6"/>
        <v>216.64</v>
      </c>
      <c r="N79" s="32">
        <f t="shared" si="6"/>
        <v>190.89</v>
      </c>
      <c r="O79" s="30">
        <f t="shared" si="6"/>
        <v>112.41</v>
      </c>
      <c r="P79" s="30">
        <f t="shared" si="6"/>
        <v>113.64</v>
      </c>
      <c r="Q79" s="30">
        <f t="shared" si="6"/>
        <v>113.64</v>
      </c>
      <c r="R79" s="30">
        <f t="shared" si="6"/>
        <v>96.88</v>
      </c>
    </row>
    <row r="80" spans="1:18" ht="15">
      <c r="A80" s="27"/>
      <c r="B80" s="13"/>
      <c r="C80" s="25"/>
      <c r="D80" s="25"/>
      <c r="E80" s="25"/>
      <c r="F80" s="35"/>
      <c r="G80" s="25"/>
      <c r="H80" s="25"/>
      <c r="I80" s="16"/>
      <c r="J80" s="25"/>
      <c r="K80" s="25"/>
      <c r="L80" s="16"/>
      <c r="M80" s="25"/>
      <c r="N80" s="16"/>
      <c r="O80" s="25"/>
      <c r="P80" s="25"/>
      <c r="Q80" s="25"/>
      <c r="R80" s="25"/>
    </row>
    <row r="81" spans="1:18" ht="15">
      <c r="A81" s="27" t="s">
        <v>89</v>
      </c>
      <c r="B81" s="13" t="s">
        <v>140</v>
      </c>
      <c r="C81" s="25"/>
      <c r="D81" s="25"/>
      <c r="E81" s="25"/>
      <c r="F81" s="24"/>
      <c r="G81" s="25"/>
      <c r="H81" s="25"/>
      <c r="I81" s="16"/>
      <c r="J81" s="25"/>
      <c r="K81" s="25"/>
      <c r="L81" s="16"/>
      <c r="M81" s="25"/>
      <c r="N81" s="16"/>
      <c r="O81" s="25"/>
      <c r="P81" s="25"/>
      <c r="Q81" s="25"/>
      <c r="R81" s="25"/>
    </row>
    <row r="82" spans="1:18" ht="15">
      <c r="A82" s="27"/>
      <c r="B82" s="20" t="s">
        <v>90</v>
      </c>
      <c r="C82" s="21">
        <v>43297</v>
      </c>
      <c r="D82" s="22">
        <v>10308.2</v>
      </c>
      <c r="E82" s="23">
        <v>8621</v>
      </c>
      <c r="F82" s="24">
        <v>7008.67</v>
      </c>
      <c r="G82" s="37">
        <v>15624</v>
      </c>
      <c r="H82" s="25">
        <v>10709.64</v>
      </c>
      <c r="I82" s="16">
        <v>19975.72</v>
      </c>
      <c r="J82" s="25">
        <v>9364.59</v>
      </c>
      <c r="K82" s="25">
        <v>9632.59</v>
      </c>
      <c r="L82" s="16">
        <v>8642.54</v>
      </c>
      <c r="M82" s="25">
        <v>25374.03</v>
      </c>
      <c r="N82" s="16">
        <v>13529.03</v>
      </c>
      <c r="O82" s="25">
        <f>2196.97+441.79+164.67+6687.16+0.12+2266.69</f>
        <v>11757.400000000001</v>
      </c>
      <c r="P82" s="25">
        <v>28663.22</v>
      </c>
      <c r="Q82" s="25">
        <v>28663.22</v>
      </c>
      <c r="R82" s="25">
        <v>9454.45</v>
      </c>
    </row>
    <row r="83" spans="1:18" ht="15">
      <c r="A83" s="27"/>
      <c r="B83" s="20" t="s">
        <v>91</v>
      </c>
      <c r="C83" s="21">
        <f>19190+945</f>
        <v>20135</v>
      </c>
      <c r="D83" s="22">
        <v>3095.7</v>
      </c>
      <c r="E83" s="23">
        <v>2809</v>
      </c>
      <c r="F83" s="24">
        <v>3020</v>
      </c>
      <c r="G83" s="37">
        <v>3527</v>
      </c>
      <c r="H83" s="25">
        <v>2626.38</v>
      </c>
      <c r="I83" s="16">
        <v>3221.06</v>
      </c>
      <c r="J83" s="25">
        <v>5251.2</v>
      </c>
      <c r="K83" s="25">
        <v>5251.2</v>
      </c>
      <c r="L83" s="16">
        <v>4722.25</v>
      </c>
      <c r="M83" s="25">
        <v>6251.2</v>
      </c>
      <c r="N83" s="16">
        <v>6294.05</v>
      </c>
      <c r="O83" s="25">
        <f>4153.68+231.85</f>
        <v>4385.530000000001</v>
      </c>
      <c r="P83" s="25">
        <v>6251.2</v>
      </c>
      <c r="Q83" s="25">
        <v>6251.2</v>
      </c>
      <c r="R83" s="25">
        <v>2372.2</v>
      </c>
    </row>
    <row r="84" spans="1:18" ht="15">
      <c r="A84" s="27"/>
      <c r="B84" s="20" t="s">
        <v>92</v>
      </c>
      <c r="C84" s="21">
        <v>1365</v>
      </c>
      <c r="D84" s="22">
        <v>320.28</v>
      </c>
      <c r="E84" s="23">
        <v>211</v>
      </c>
      <c r="F84" s="24">
        <v>193.92</v>
      </c>
      <c r="G84" s="37">
        <v>213</v>
      </c>
      <c r="H84" s="25">
        <v>178.81</v>
      </c>
      <c r="I84" s="16">
        <v>146.09</v>
      </c>
      <c r="J84" s="25">
        <v>150</v>
      </c>
      <c r="K84" s="25">
        <v>150</v>
      </c>
      <c r="L84" s="16">
        <v>235.51</v>
      </c>
      <c r="M84" s="25">
        <v>350</v>
      </c>
      <c r="N84" s="16">
        <v>350</v>
      </c>
      <c r="O84" s="25">
        <f>418.56</f>
        <v>418.56</v>
      </c>
      <c r="P84" s="25">
        <v>550</v>
      </c>
      <c r="Q84" s="25">
        <v>550</v>
      </c>
      <c r="R84" s="25">
        <v>550.78</v>
      </c>
    </row>
    <row r="85" spans="1:18" ht="15">
      <c r="A85" s="27"/>
      <c r="B85" s="20" t="s">
        <v>93</v>
      </c>
      <c r="C85" s="21">
        <v>15500</v>
      </c>
      <c r="D85" s="22">
        <v>4899.77</v>
      </c>
      <c r="E85" s="23">
        <v>2650</v>
      </c>
      <c r="F85" s="24">
        <v>4050</v>
      </c>
      <c r="G85" s="37">
        <v>2500</v>
      </c>
      <c r="H85" s="25">
        <v>6664.83</v>
      </c>
      <c r="I85" s="16">
        <v>5575</v>
      </c>
      <c r="J85" s="25">
        <v>3545.83</v>
      </c>
      <c r="K85" s="25">
        <v>3545.83</v>
      </c>
      <c r="L85" s="16">
        <v>2036.91</v>
      </c>
      <c r="M85" s="25">
        <v>3545.83</v>
      </c>
      <c r="N85" s="16">
        <v>3545.83</v>
      </c>
      <c r="O85" s="25">
        <v>3545.8</v>
      </c>
      <c r="P85" s="25">
        <v>3545.83</v>
      </c>
      <c r="Q85" s="25">
        <v>3545.83</v>
      </c>
      <c r="R85" s="25">
        <v>2389.43</v>
      </c>
    </row>
    <row r="86" spans="1:18" ht="15">
      <c r="A86" s="27"/>
      <c r="B86" s="20" t="s">
        <v>141</v>
      </c>
      <c r="C86" s="25"/>
      <c r="D86" s="25"/>
      <c r="E86" s="25"/>
      <c r="F86" s="24"/>
      <c r="G86" s="37"/>
      <c r="H86" s="25"/>
      <c r="I86" s="16"/>
      <c r="J86" s="25"/>
      <c r="K86" s="25"/>
      <c r="L86" s="16"/>
      <c r="M86" s="25"/>
      <c r="N86" s="16"/>
      <c r="O86" s="25"/>
      <c r="P86" s="25"/>
      <c r="Q86" s="25"/>
      <c r="R86" s="25"/>
    </row>
    <row r="87" spans="1:18" ht="15">
      <c r="A87" s="27"/>
      <c r="B87" s="20" t="s">
        <v>94</v>
      </c>
      <c r="C87" s="25">
        <v>0</v>
      </c>
      <c r="D87" s="25">
        <v>26.25</v>
      </c>
      <c r="E87" s="23">
        <v>0</v>
      </c>
      <c r="F87" s="24">
        <v>0</v>
      </c>
      <c r="G87" s="37">
        <v>0</v>
      </c>
      <c r="H87" s="25">
        <v>0</v>
      </c>
      <c r="I87" s="28">
        <v>0</v>
      </c>
      <c r="J87" s="25">
        <v>0</v>
      </c>
      <c r="K87" s="23">
        <v>0</v>
      </c>
      <c r="L87" s="28">
        <v>0</v>
      </c>
      <c r="M87" s="23">
        <v>0</v>
      </c>
      <c r="N87" s="16">
        <v>0</v>
      </c>
      <c r="O87" s="23">
        <v>0</v>
      </c>
      <c r="P87" s="25">
        <v>0</v>
      </c>
      <c r="Q87" s="25">
        <v>0</v>
      </c>
      <c r="R87" s="23">
        <v>0</v>
      </c>
    </row>
    <row r="88" spans="1:18" ht="15">
      <c r="A88" s="27"/>
      <c r="B88" s="49" t="s">
        <v>95</v>
      </c>
      <c r="C88" s="25">
        <v>0</v>
      </c>
      <c r="D88" s="25">
        <v>0</v>
      </c>
      <c r="E88" s="23">
        <v>0</v>
      </c>
      <c r="F88" s="24">
        <v>0</v>
      </c>
      <c r="G88" s="37">
        <v>0</v>
      </c>
      <c r="H88" s="25">
        <v>0</v>
      </c>
      <c r="I88" s="28">
        <v>0</v>
      </c>
      <c r="J88" s="25">
        <v>0</v>
      </c>
      <c r="K88" s="23">
        <v>0</v>
      </c>
      <c r="L88" s="28">
        <v>0</v>
      </c>
      <c r="M88" s="23">
        <v>0</v>
      </c>
      <c r="N88" s="16">
        <v>0</v>
      </c>
      <c r="O88" s="23">
        <v>0</v>
      </c>
      <c r="P88" s="25">
        <v>0</v>
      </c>
      <c r="Q88" s="25">
        <v>0</v>
      </c>
      <c r="R88" s="23">
        <v>0</v>
      </c>
    </row>
    <row r="89" spans="1:18" ht="15">
      <c r="A89" s="27"/>
      <c r="B89" s="20" t="s">
        <v>96</v>
      </c>
      <c r="C89" s="21">
        <v>183</v>
      </c>
      <c r="D89" s="25">
        <v>0</v>
      </c>
      <c r="E89" s="23">
        <v>26</v>
      </c>
      <c r="F89" s="24">
        <v>27.42</v>
      </c>
      <c r="G89" s="37">
        <v>25</v>
      </c>
      <c r="H89" s="25">
        <v>25</v>
      </c>
      <c r="I89" s="16">
        <v>11.78</v>
      </c>
      <c r="J89" s="25">
        <v>11.93</v>
      </c>
      <c r="K89" s="25">
        <v>11.93</v>
      </c>
      <c r="L89" s="16">
        <v>9.96</v>
      </c>
      <c r="M89" s="25">
        <v>11.93</v>
      </c>
      <c r="N89" s="16">
        <v>15</v>
      </c>
      <c r="O89" s="25">
        <v>14.4</v>
      </c>
      <c r="P89" s="25">
        <f>11.93</f>
        <v>11.93</v>
      </c>
      <c r="Q89" s="25">
        <f>11.93</f>
        <v>11.93</v>
      </c>
      <c r="R89" s="25">
        <v>16.75</v>
      </c>
    </row>
    <row r="90" spans="1:18" s="34" customFormat="1" ht="15">
      <c r="A90" s="27"/>
      <c r="B90" s="13" t="s">
        <v>97</v>
      </c>
      <c r="C90" s="30">
        <f aca="true" t="shared" si="7" ref="C90:R90">SUM(C82:C89)</f>
        <v>80480</v>
      </c>
      <c r="D90" s="30">
        <f t="shared" si="7"/>
        <v>18650.200000000004</v>
      </c>
      <c r="E90" s="30">
        <f t="shared" si="7"/>
        <v>14317</v>
      </c>
      <c r="F90" s="31">
        <f t="shared" si="7"/>
        <v>14300.01</v>
      </c>
      <c r="G90" s="30">
        <f t="shared" si="7"/>
        <v>21889</v>
      </c>
      <c r="H90" s="30">
        <f t="shared" si="7"/>
        <v>20204.66</v>
      </c>
      <c r="I90" s="32">
        <f t="shared" si="7"/>
        <v>28929.65</v>
      </c>
      <c r="J90" s="30">
        <f t="shared" si="7"/>
        <v>18323.550000000003</v>
      </c>
      <c r="K90" s="30">
        <f t="shared" si="7"/>
        <v>18591.550000000003</v>
      </c>
      <c r="L90" s="32">
        <f t="shared" si="7"/>
        <v>15647.17</v>
      </c>
      <c r="M90" s="30">
        <f t="shared" si="7"/>
        <v>35532.99</v>
      </c>
      <c r="N90" s="32">
        <f t="shared" si="7"/>
        <v>23733.910000000003</v>
      </c>
      <c r="O90" s="30">
        <f t="shared" si="7"/>
        <v>20121.690000000002</v>
      </c>
      <c r="P90" s="30">
        <f t="shared" si="7"/>
        <v>39022.18</v>
      </c>
      <c r="Q90" s="30">
        <f t="shared" si="7"/>
        <v>39022.18</v>
      </c>
      <c r="R90" s="30">
        <f t="shared" si="7"/>
        <v>14783.610000000002</v>
      </c>
    </row>
    <row r="91" spans="1:18" ht="15">
      <c r="A91" s="27"/>
      <c r="B91" s="29"/>
      <c r="C91" s="25"/>
      <c r="D91" s="25"/>
      <c r="E91" s="25"/>
      <c r="F91" s="35"/>
      <c r="G91" s="25"/>
      <c r="H91" s="25"/>
      <c r="I91" s="16"/>
      <c r="J91" s="25"/>
      <c r="K91" s="25"/>
      <c r="L91" s="16"/>
      <c r="M91" s="25"/>
      <c r="N91" s="16"/>
      <c r="O91" s="25"/>
      <c r="P91" s="25"/>
      <c r="Q91" s="25"/>
      <c r="R91" s="25"/>
    </row>
    <row r="92" spans="1:18" ht="15">
      <c r="A92" s="27" t="s">
        <v>98</v>
      </c>
      <c r="B92" s="13" t="s">
        <v>142</v>
      </c>
      <c r="C92" s="25"/>
      <c r="D92" s="25"/>
      <c r="E92" s="25"/>
      <c r="F92" s="24"/>
      <c r="G92" s="25"/>
      <c r="H92" s="25"/>
      <c r="I92" s="16"/>
      <c r="J92" s="25"/>
      <c r="K92" s="25"/>
      <c r="L92" s="16"/>
      <c r="M92" s="25"/>
      <c r="N92" s="16"/>
      <c r="O92" s="25"/>
      <c r="P92" s="25"/>
      <c r="Q92" s="25"/>
      <c r="R92" s="25"/>
    </row>
    <row r="93" spans="1:18" ht="15">
      <c r="A93" s="27"/>
      <c r="B93" s="20" t="s">
        <v>99</v>
      </c>
      <c r="C93" s="21">
        <v>141754</v>
      </c>
      <c r="D93" s="22">
        <v>23387.83</v>
      </c>
      <c r="E93" s="23">
        <v>27690</v>
      </c>
      <c r="F93" s="24">
        <v>23990.9</v>
      </c>
      <c r="G93" s="37">
        <v>49752</v>
      </c>
      <c r="H93" s="25">
        <v>44308.11</v>
      </c>
      <c r="I93" s="16">
        <v>43166.13</v>
      </c>
      <c r="J93" s="25">
        <v>47151.65</v>
      </c>
      <c r="K93" s="25">
        <v>59362.65</v>
      </c>
      <c r="L93" s="16">
        <v>44429.52</v>
      </c>
      <c r="M93" s="25">
        <v>54644.26</v>
      </c>
      <c r="N93" s="16">
        <v>47819.75</v>
      </c>
      <c r="O93" s="25">
        <f>35219.77+50+1726.76+7887.05+1257.45+1.22+11.82+14.67</f>
        <v>46168.74</v>
      </c>
      <c r="P93" s="25">
        <v>48606.26</v>
      </c>
      <c r="Q93" s="25">
        <v>48606.26</v>
      </c>
      <c r="R93" s="25">
        <v>53340.21</v>
      </c>
    </row>
    <row r="94" spans="1:18" ht="15">
      <c r="A94" s="27"/>
      <c r="B94" s="20" t="s">
        <v>100</v>
      </c>
      <c r="C94" s="21">
        <v>3755</v>
      </c>
      <c r="D94" s="22">
        <v>794.93</v>
      </c>
      <c r="E94" s="23">
        <v>647</v>
      </c>
      <c r="F94" s="24">
        <v>691.19</v>
      </c>
      <c r="G94" s="37">
        <v>600</v>
      </c>
      <c r="H94" s="25">
        <v>753.5</v>
      </c>
      <c r="I94" s="16">
        <v>962.38</v>
      </c>
      <c r="J94" s="25">
        <v>6600</v>
      </c>
      <c r="K94" s="25">
        <v>6600</v>
      </c>
      <c r="L94" s="16">
        <v>4399.3</v>
      </c>
      <c r="M94" s="25">
        <v>6500</v>
      </c>
      <c r="N94" s="16">
        <v>6550</v>
      </c>
      <c r="O94" s="25">
        <v>5596.18</v>
      </c>
      <c r="P94" s="25">
        <v>7575</v>
      </c>
      <c r="Q94" s="25">
        <v>7575</v>
      </c>
      <c r="R94" s="25">
        <v>8063.62</v>
      </c>
    </row>
    <row r="95" spans="1:18" ht="15">
      <c r="A95" s="27"/>
      <c r="B95" s="20" t="s">
        <v>101</v>
      </c>
      <c r="C95" s="21">
        <v>41815</v>
      </c>
      <c r="D95" s="22">
        <v>7310.8</v>
      </c>
      <c r="E95" s="23">
        <v>6444</v>
      </c>
      <c r="F95" s="24">
        <v>6985.4</v>
      </c>
      <c r="G95" s="37">
        <v>11904</v>
      </c>
      <c r="H95" s="25">
        <v>17753</v>
      </c>
      <c r="I95" s="16">
        <v>21163.93</v>
      </c>
      <c r="J95" s="25">
        <v>7004</v>
      </c>
      <c r="K95" s="25">
        <v>7004</v>
      </c>
      <c r="L95" s="16">
        <v>17057.84</v>
      </c>
      <c r="M95" s="25">
        <v>15604</v>
      </c>
      <c r="N95" s="16">
        <v>15604</v>
      </c>
      <c r="O95" s="25">
        <f>3000+204+9257.23</f>
        <v>12461.23</v>
      </c>
      <c r="P95" s="25">
        <v>16204</v>
      </c>
      <c r="Q95" s="25">
        <v>16204</v>
      </c>
      <c r="R95" s="25">
        <v>9446.79</v>
      </c>
    </row>
    <row r="96" spans="1:18" ht="15">
      <c r="A96" s="27"/>
      <c r="B96" s="20" t="s">
        <v>102</v>
      </c>
      <c r="C96" s="21">
        <v>4361</v>
      </c>
      <c r="D96" s="22">
        <v>993.4</v>
      </c>
      <c r="E96" s="23">
        <v>819</v>
      </c>
      <c r="F96" s="24">
        <v>822.88</v>
      </c>
      <c r="G96" s="37">
        <v>862</v>
      </c>
      <c r="H96" s="25">
        <v>716.4</v>
      </c>
      <c r="I96" s="16">
        <v>1026.21</v>
      </c>
      <c r="J96" s="25">
        <v>1400.31</v>
      </c>
      <c r="K96" s="25">
        <v>1400.31</v>
      </c>
      <c r="L96" s="16">
        <v>1029.22</v>
      </c>
      <c r="M96" s="25">
        <v>1300.31</v>
      </c>
      <c r="N96" s="16">
        <v>1300.31</v>
      </c>
      <c r="O96" s="25">
        <f>4.94+295.95+162.1+2.34+669.87</f>
        <v>1135.2</v>
      </c>
      <c r="P96" s="25">
        <v>2542.49</v>
      </c>
      <c r="Q96" s="25">
        <v>2542.49</v>
      </c>
      <c r="R96" s="25">
        <v>660.17</v>
      </c>
    </row>
    <row r="97" spans="1:18" s="34" customFormat="1" ht="15">
      <c r="A97" s="27"/>
      <c r="B97" s="29" t="s">
        <v>103</v>
      </c>
      <c r="C97" s="30">
        <f>SUM(C93:C96)</f>
        <v>191685</v>
      </c>
      <c r="D97" s="30">
        <f>SUM(D93:D96)</f>
        <v>32486.960000000003</v>
      </c>
      <c r="E97" s="30">
        <f>SUM(E93:E96)</f>
        <v>35600</v>
      </c>
      <c r="F97" s="31">
        <f>SUM(F93+F94+F95+F96)</f>
        <v>32490.37</v>
      </c>
      <c r="G97" s="30">
        <v>63119</v>
      </c>
      <c r="H97" s="30">
        <f aca="true" t="shared" si="8" ref="H97:R97">SUM(H93:H96)</f>
        <v>63531.01</v>
      </c>
      <c r="I97" s="32">
        <f t="shared" si="8"/>
        <v>66318.65</v>
      </c>
      <c r="J97" s="30">
        <f t="shared" si="8"/>
        <v>62155.96</v>
      </c>
      <c r="K97" s="30">
        <f t="shared" si="8"/>
        <v>74366.95999999999</v>
      </c>
      <c r="L97" s="32">
        <f t="shared" si="8"/>
        <v>66915.88</v>
      </c>
      <c r="M97" s="30">
        <f t="shared" si="8"/>
        <v>78048.57</v>
      </c>
      <c r="N97" s="32">
        <f t="shared" si="8"/>
        <v>71274.06</v>
      </c>
      <c r="O97" s="30">
        <f t="shared" si="8"/>
        <v>65361.34999999999</v>
      </c>
      <c r="P97" s="30">
        <f t="shared" si="8"/>
        <v>74927.75000000001</v>
      </c>
      <c r="Q97" s="30">
        <f t="shared" si="8"/>
        <v>74927.75000000001</v>
      </c>
      <c r="R97" s="30">
        <f t="shared" si="8"/>
        <v>71510.79</v>
      </c>
    </row>
    <row r="98" spans="1:18" ht="15">
      <c r="A98" s="27"/>
      <c r="B98" s="20" t="s">
        <v>104</v>
      </c>
      <c r="C98" s="21">
        <v>133024</v>
      </c>
      <c r="D98" s="22">
        <v>24308.76</v>
      </c>
      <c r="E98" s="23">
        <v>25302</v>
      </c>
      <c r="F98" s="24">
        <v>22008.16</v>
      </c>
      <c r="G98" s="37">
        <v>40995</v>
      </c>
      <c r="H98" s="25">
        <v>38615.05</v>
      </c>
      <c r="I98" s="16">
        <v>35362.36</v>
      </c>
      <c r="J98" s="25">
        <v>40995.44</v>
      </c>
      <c r="K98" s="25">
        <v>40995.44</v>
      </c>
      <c r="L98" s="16">
        <v>31427.72</v>
      </c>
      <c r="M98" s="25">
        <v>43269.24</v>
      </c>
      <c r="N98" s="16">
        <v>34769.24</v>
      </c>
      <c r="O98" s="25">
        <f>7158.11+4078.91+8.6+141.8+8.55+113+3.62+59.49+4.06+7864.24+14524.1</f>
        <v>33964.479999999996</v>
      </c>
      <c r="P98" s="25">
        <v>53574.24</v>
      </c>
      <c r="Q98" s="25">
        <v>53574.24</v>
      </c>
      <c r="R98" s="25">
        <v>39466.1</v>
      </c>
    </row>
    <row r="99" spans="1:18" ht="15">
      <c r="A99" s="27"/>
      <c r="B99" s="20" t="s">
        <v>105</v>
      </c>
      <c r="C99" s="21">
        <v>182751</v>
      </c>
      <c r="D99" s="22">
        <v>36082.48</v>
      </c>
      <c r="E99" s="23">
        <v>35667</v>
      </c>
      <c r="F99" s="24">
        <v>30246.86</v>
      </c>
      <c r="G99" s="37">
        <v>36739</v>
      </c>
      <c r="H99" s="25">
        <v>37478.07</v>
      </c>
      <c r="I99" s="16">
        <v>35422.17</v>
      </c>
      <c r="J99" s="25">
        <v>44655.61</v>
      </c>
      <c r="K99" s="25">
        <v>44655.61</v>
      </c>
      <c r="L99" s="16">
        <v>45370.48</v>
      </c>
      <c r="M99" s="25">
        <v>44233.62</v>
      </c>
      <c r="N99" s="16">
        <v>57033.62</v>
      </c>
      <c r="O99" s="25">
        <f>3261.16+29444.37+27483.55</f>
        <v>60189.08</v>
      </c>
      <c r="P99" s="25">
        <v>56171.62</v>
      </c>
      <c r="Q99" s="25">
        <v>56171.62</v>
      </c>
      <c r="R99" s="25">
        <v>63626.64</v>
      </c>
    </row>
    <row r="100" spans="1:18" ht="15">
      <c r="A100" s="27"/>
      <c r="B100" s="20" t="s">
        <v>106</v>
      </c>
      <c r="C100" s="21">
        <v>186456</v>
      </c>
      <c r="D100" s="22">
        <v>19355.44</v>
      </c>
      <c r="E100" s="23">
        <v>13238</v>
      </c>
      <c r="F100" s="24">
        <v>17677.14</v>
      </c>
      <c r="G100" s="37">
        <v>26273</v>
      </c>
      <c r="H100" s="25">
        <v>39148.77</v>
      </c>
      <c r="I100" s="16">
        <v>42661.63</v>
      </c>
      <c r="J100" s="25">
        <v>42642</v>
      </c>
      <c r="K100" s="25">
        <v>42642</v>
      </c>
      <c r="L100" s="16">
        <v>58188.53</v>
      </c>
      <c r="M100" s="25">
        <v>43290</v>
      </c>
      <c r="N100" s="16">
        <v>54383.8</v>
      </c>
      <c r="O100" s="25">
        <f>419.13+40049.14</f>
        <v>40468.27</v>
      </c>
      <c r="P100" s="25">
        <v>119031</v>
      </c>
      <c r="Q100" s="25">
        <v>119031</v>
      </c>
      <c r="R100" s="25">
        <v>52415.56</v>
      </c>
    </row>
    <row r="101" spans="1:18" ht="15">
      <c r="A101" s="27"/>
      <c r="B101" s="20" t="s">
        <v>107</v>
      </c>
      <c r="C101" s="23">
        <v>0</v>
      </c>
      <c r="D101" s="23">
        <v>0</v>
      </c>
      <c r="E101" s="23">
        <v>0</v>
      </c>
      <c r="F101" s="24">
        <v>0</v>
      </c>
      <c r="G101" s="23">
        <v>0</v>
      </c>
      <c r="H101" s="23">
        <v>0</v>
      </c>
      <c r="I101" s="28">
        <v>0</v>
      </c>
      <c r="J101" s="23">
        <v>0</v>
      </c>
      <c r="K101" s="23">
        <v>0</v>
      </c>
      <c r="L101" s="28">
        <v>0</v>
      </c>
      <c r="M101" s="23">
        <v>0</v>
      </c>
      <c r="N101" s="16">
        <v>0</v>
      </c>
      <c r="O101" s="23">
        <v>0</v>
      </c>
      <c r="P101" s="25">
        <v>0</v>
      </c>
      <c r="Q101" s="25">
        <v>0</v>
      </c>
      <c r="R101" s="23">
        <v>0</v>
      </c>
    </row>
    <row r="102" spans="1:18" ht="15">
      <c r="A102" s="27"/>
      <c r="B102" s="20" t="s">
        <v>108</v>
      </c>
      <c r="C102" s="21">
        <v>168653</v>
      </c>
      <c r="D102" s="22">
        <v>23068.1</v>
      </c>
      <c r="E102" s="23">
        <v>19297</v>
      </c>
      <c r="F102" s="24">
        <v>21461.56</v>
      </c>
      <c r="G102" s="37">
        <v>20053</v>
      </c>
      <c r="H102" s="25">
        <v>36639.67</v>
      </c>
      <c r="I102" s="16">
        <v>25293.46</v>
      </c>
      <c r="J102" s="25">
        <v>46957.36</v>
      </c>
      <c r="K102" s="25">
        <v>50261</v>
      </c>
      <c r="L102" s="16">
        <v>38424.05</v>
      </c>
      <c r="M102" s="25">
        <v>71465.96</v>
      </c>
      <c r="N102" s="16">
        <v>42997.59</v>
      </c>
      <c r="O102" s="25">
        <f>289.87+35165.57+1377.73+9241.38+284.15+901.75+4+4+4+3</f>
        <v>47275.450000000004</v>
      </c>
      <c r="P102" s="25">
        <v>81310.86</v>
      </c>
      <c r="Q102" s="25">
        <v>81310.86</v>
      </c>
      <c r="R102" s="25">
        <v>89222.38</v>
      </c>
    </row>
    <row r="103" spans="1:18" ht="30">
      <c r="A103" s="27"/>
      <c r="B103" s="50" t="s">
        <v>109</v>
      </c>
      <c r="C103" s="25"/>
      <c r="D103" s="26"/>
      <c r="E103" s="25"/>
      <c r="F103" s="24"/>
      <c r="G103" s="25"/>
      <c r="H103" s="25"/>
      <c r="I103" s="16"/>
      <c r="J103" s="25"/>
      <c r="K103" s="25"/>
      <c r="L103" s="16"/>
      <c r="M103" s="25"/>
      <c r="N103" s="16"/>
      <c r="O103" s="25"/>
      <c r="P103" s="25"/>
      <c r="Q103" s="25"/>
      <c r="R103" s="25"/>
    </row>
    <row r="104" spans="1:18" ht="15">
      <c r="A104" s="27"/>
      <c r="B104" s="20" t="s">
        <v>110</v>
      </c>
      <c r="C104" s="21">
        <v>5826</v>
      </c>
      <c r="D104" s="22">
        <v>822.23</v>
      </c>
      <c r="E104" s="23">
        <v>586</v>
      </c>
      <c r="F104" s="24">
        <v>441.21</v>
      </c>
      <c r="G104" s="37">
        <v>500</v>
      </c>
      <c r="H104" s="25">
        <v>500</v>
      </c>
      <c r="I104" s="16">
        <v>1069.92</v>
      </c>
      <c r="J104" s="25">
        <v>500</v>
      </c>
      <c r="K104" s="25">
        <v>500</v>
      </c>
      <c r="L104" s="16">
        <v>584.9</v>
      </c>
      <c r="M104" s="25">
        <v>500</v>
      </c>
      <c r="N104" s="16">
        <v>500</v>
      </c>
      <c r="O104" s="25">
        <v>481.62</v>
      </c>
      <c r="P104" s="25">
        <v>500</v>
      </c>
      <c r="Q104" s="25">
        <v>500</v>
      </c>
      <c r="R104" s="25">
        <v>484</v>
      </c>
    </row>
    <row r="105" spans="1:18" ht="15">
      <c r="A105" s="27"/>
      <c r="B105" s="20" t="s">
        <v>111</v>
      </c>
      <c r="C105" s="21">
        <v>391461</v>
      </c>
      <c r="D105" s="22">
        <v>70369.31</v>
      </c>
      <c r="E105" s="23">
        <v>58138</v>
      </c>
      <c r="F105" s="24">
        <v>48921.86</v>
      </c>
      <c r="G105" s="37">
        <v>78452</v>
      </c>
      <c r="H105" s="25">
        <v>90391.85</v>
      </c>
      <c r="I105" s="16">
        <v>93534.65</v>
      </c>
      <c r="J105" s="25">
        <v>89306.87</v>
      </c>
      <c r="K105" s="25">
        <v>87617.87</v>
      </c>
      <c r="L105" s="16">
        <v>78573.02</v>
      </c>
      <c r="M105" s="25">
        <v>103095.17</v>
      </c>
      <c r="N105" s="16">
        <v>88789.95</v>
      </c>
      <c r="O105" s="25">
        <f>23405.46+27793.88+23631.73+4611.74</f>
        <v>79442.81</v>
      </c>
      <c r="P105" s="25">
        <v>156153.17</v>
      </c>
      <c r="Q105" s="25">
        <v>156153.17</v>
      </c>
      <c r="R105" s="25">
        <v>105755.68</v>
      </c>
    </row>
    <row r="106" spans="1:18" ht="15">
      <c r="A106" s="27"/>
      <c r="B106" s="20" t="s">
        <v>112</v>
      </c>
      <c r="C106" s="21">
        <v>12194</v>
      </c>
      <c r="D106" s="22">
        <v>2918.22</v>
      </c>
      <c r="E106" s="23">
        <v>1666</v>
      </c>
      <c r="F106" s="24">
        <v>760.62</v>
      </c>
      <c r="G106" s="37">
        <v>1742</v>
      </c>
      <c r="H106" s="25">
        <v>1264.45</v>
      </c>
      <c r="I106" s="16">
        <v>1587.59</v>
      </c>
      <c r="J106" s="25">
        <v>1741.91</v>
      </c>
      <c r="K106" s="25">
        <v>1741.91</v>
      </c>
      <c r="L106" s="16">
        <v>1230.03</v>
      </c>
      <c r="M106" s="25">
        <v>1741.91</v>
      </c>
      <c r="N106" s="16">
        <v>1742.25</v>
      </c>
      <c r="O106" s="25">
        <f>239.9+10.19+0.68+936.65</f>
        <v>1187.42</v>
      </c>
      <c r="P106" s="25">
        <v>1741.91</v>
      </c>
      <c r="Q106" s="25">
        <v>1741.91</v>
      </c>
      <c r="R106" s="25">
        <v>974.19</v>
      </c>
    </row>
    <row r="107" spans="1:18" ht="15">
      <c r="A107" s="27"/>
      <c r="B107" s="20" t="s">
        <v>113</v>
      </c>
      <c r="C107" s="21">
        <v>38573</v>
      </c>
      <c r="D107" s="26">
        <v>6831.95</v>
      </c>
      <c r="E107" s="23">
        <v>6528</v>
      </c>
      <c r="F107" s="24">
        <v>6093.73</v>
      </c>
      <c r="G107" s="37">
        <v>8105</v>
      </c>
      <c r="H107" s="25">
        <v>6342.83</v>
      </c>
      <c r="I107" s="16">
        <v>7066.88</v>
      </c>
      <c r="J107" s="25">
        <v>8265.68</v>
      </c>
      <c r="K107" s="25">
        <v>8265.68</v>
      </c>
      <c r="L107" s="16">
        <v>8163.85</v>
      </c>
      <c r="M107" s="25">
        <v>8942.57</v>
      </c>
      <c r="N107" s="16">
        <v>8946.52</v>
      </c>
      <c r="O107" s="25">
        <f>1202.12+109.69+981.06+283.07+17.14+550.19</f>
        <v>3143.27</v>
      </c>
      <c r="P107" s="25">
        <v>16495.33</v>
      </c>
      <c r="Q107" s="25">
        <v>16495.33</v>
      </c>
      <c r="R107" s="25">
        <v>11556.06</v>
      </c>
    </row>
    <row r="108" spans="1:18" ht="15">
      <c r="A108" s="27"/>
      <c r="B108" s="20" t="s">
        <v>114</v>
      </c>
      <c r="C108" s="21">
        <v>52781</v>
      </c>
      <c r="D108" s="26">
        <v>8552.01</v>
      </c>
      <c r="E108" s="23">
        <v>8492</v>
      </c>
      <c r="F108" s="15">
        <v>8449.11</v>
      </c>
      <c r="G108" s="37">
        <v>13960</v>
      </c>
      <c r="H108" s="25">
        <v>13018.74</v>
      </c>
      <c r="I108" s="16">
        <v>13959.34</v>
      </c>
      <c r="J108" s="25">
        <v>13960.1</v>
      </c>
      <c r="K108" s="25">
        <v>13960.1</v>
      </c>
      <c r="L108" s="16">
        <v>13794.71</v>
      </c>
      <c r="M108" s="25">
        <v>11118.9</v>
      </c>
      <c r="N108" s="16">
        <v>11118.9</v>
      </c>
      <c r="O108" s="25">
        <v>7265</v>
      </c>
      <c r="P108" s="25">
        <v>11118.9</v>
      </c>
      <c r="Q108" s="25">
        <v>11118.9</v>
      </c>
      <c r="R108" s="25">
        <v>19853.56</v>
      </c>
    </row>
    <row r="109" spans="1:18" ht="15">
      <c r="A109" s="27"/>
      <c r="B109" s="20" t="s">
        <v>115</v>
      </c>
      <c r="C109" s="21">
        <v>0</v>
      </c>
      <c r="D109" s="26">
        <v>0</v>
      </c>
      <c r="E109" s="23">
        <v>0</v>
      </c>
      <c r="F109" s="24">
        <v>0</v>
      </c>
      <c r="G109" s="37">
        <v>0</v>
      </c>
      <c r="H109" s="25"/>
      <c r="I109" s="16"/>
      <c r="J109" s="25"/>
      <c r="K109" s="25"/>
      <c r="L109" s="16"/>
      <c r="M109" s="25"/>
      <c r="N109" s="16">
        <v>0</v>
      </c>
      <c r="O109" s="25">
        <v>0</v>
      </c>
      <c r="P109" s="25">
        <v>0</v>
      </c>
      <c r="Q109" s="25">
        <v>0</v>
      </c>
      <c r="R109" s="25">
        <v>0</v>
      </c>
    </row>
    <row r="110" spans="1:18" s="34" customFormat="1" ht="15">
      <c r="A110" s="27"/>
      <c r="B110" s="29" t="s">
        <v>116</v>
      </c>
      <c r="C110" s="30">
        <f aca="true" t="shared" si="9" ref="C110:R110">SUM(C97:C109)</f>
        <v>1363404</v>
      </c>
      <c r="D110" s="30">
        <f t="shared" si="9"/>
        <v>224795.46000000005</v>
      </c>
      <c r="E110" s="30">
        <f t="shared" si="9"/>
        <v>204514</v>
      </c>
      <c r="F110" s="31">
        <f t="shared" si="9"/>
        <v>188550.62</v>
      </c>
      <c r="G110" s="30">
        <f t="shared" si="9"/>
        <v>289938</v>
      </c>
      <c r="H110" s="30">
        <f t="shared" si="9"/>
        <v>326930.44000000006</v>
      </c>
      <c r="I110" s="32">
        <f t="shared" si="9"/>
        <v>322276.65</v>
      </c>
      <c r="J110" s="30">
        <f t="shared" si="9"/>
        <v>351180.92999999993</v>
      </c>
      <c r="K110" s="30">
        <f t="shared" si="9"/>
        <v>365006.56999999995</v>
      </c>
      <c r="L110" s="32">
        <f t="shared" si="9"/>
        <v>342673.17000000004</v>
      </c>
      <c r="M110" s="30">
        <f t="shared" si="9"/>
        <v>405705.94</v>
      </c>
      <c r="N110" s="32">
        <f t="shared" si="9"/>
        <v>371555.93</v>
      </c>
      <c r="O110" s="30">
        <f t="shared" si="9"/>
        <v>338778.74999999994</v>
      </c>
      <c r="P110" s="44">
        <f t="shared" si="9"/>
        <v>571024.78</v>
      </c>
      <c r="Q110" s="44">
        <f t="shared" si="9"/>
        <v>571024.78</v>
      </c>
      <c r="R110" s="30">
        <f t="shared" si="9"/>
        <v>454864.95999999996</v>
      </c>
    </row>
    <row r="111" spans="1:18" ht="15">
      <c r="A111" s="27"/>
      <c r="B111" s="13"/>
      <c r="C111" s="25"/>
      <c r="D111" s="25"/>
      <c r="E111" s="25"/>
      <c r="F111" s="35"/>
      <c r="G111" s="25"/>
      <c r="H111" s="25"/>
      <c r="I111" s="16"/>
      <c r="J111" s="25"/>
      <c r="K111" s="25"/>
      <c r="L111" s="16"/>
      <c r="M111" s="25"/>
      <c r="N111" s="16"/>
      <c r="O111" s="25"/>
      <c r="P111" s="25"/>
      <c r="Q111" s="25"/>
      <c r="R111" s="25"/>
    </row>
    <row r="112" spans="1:18" ht="15">
      <c r="A112" s="27" t="s">
        <v>117</v>
      </c>
      <c r="B112" s="13" t="s">
        <v>143</v>
      </c>
      <c r="C112" s="25"/>
      <c r="D112" s="25"/>
      <c r="E112" s="25"/>
      <c r="F112" s="24"/>
      <c r="G112" s="25"/>
      <c r="H112" s="25"/>
      <c r="I112" s="16"/>
      <c r="J112" s="25"/>
      <c r="K112" s="25"/>
      <c r="L112" s="16"/>
      <c r="M112" s="25"/>
      <c r="N112" s="16"/>
      <c r="O112" s="25"/>
      <c r="P112" s="25"/>
      <c r="Q112" s="25"/>
      <c r="R112" s="25"/>
    </row>
    <row r="113" spans="1:18" ht="15">
      <c r="A113" s="27"/>
      <c r="B113" s="20" t="s">
        <v>118</v>
      </c>
      <c r="C113" s="21">
        <v>0</v>
      </c>
      <c r="D113" s="22">
        <v>0</v>
      </c>
      <c r="E113" s="23">
        <v>0</v>
      </c>
      <c r="F113" s="24">
        <v>0</v>
      </c>
      <c r="G113" s="37">
        <v>0</v>
      </c>
      <c r="H113" s="23">
        <v>0</v>
      </c>
      <c r="I113" s="28">
        <v>0</v>
      </c>
      <c r="J113" s="23">
        <v>0</v>
      </c>
      <c r="K113" s="23">
        <v>0</v>
      </c>
      <c r="L113" s="28">
        <v>0</v>
      </c>
      <c r="M113" s="23">
        <v>0</v>
      </c>
      <c r="N113" s="16">
        <v>0</v>
      </c>
      <c r="O113" s="23">
        <v>0</v>
      </c>
      <c r="P113" s="25">
        <v>0</v>
      </c>
      <c r="Q113" s="25">
        <v>0</v>
      </c>
      <c r="R113" s="23">
        <v>0</v>
      </c>
    </row>
    <row r="114" spans="1:18" ht="15">
      <c r="A114" s="27"/>
      <c r="B114" s="20" t="s">
        <v>119</v>
      </c>
      <c r="C114" s="21">
        <v>25</v>
      </c>
      <c r="D114" s="22">
        <v>5.25</v>
      </c>
      <c r="E114" s="23">
        <v>0</v>
      </c>
      <c r="F114" s="24">
        <v>0</v>
      </c>
      <c r="G114" s="37">
        <v>0</v>
      </c>
      <c r="H114" s="25">
        <v>3.52</v>
      </c>
      <c r="I114" s="28">
        <v>0</v>
      </c>
      <c r="J114" s="23">
        <v>0</v>
      </c>
      <c r="K114" s="23">
        <v>0</v>
      </c>
      <c r="L114" s="28">
        <v>0</v>
      </c>
      <c r="M114" s="23">
        <v>0</v>
      </c>
      <c r="N114" s="16">
        <v>0</v>
      </c>
      <c r="O114" s="23">
        <v>0</v>
      </c>
      <c r="P114" s="25">
        <v>0</v>
      </c>
      <c r="Q114" s="25">
        <v>0</v>
      </c>
      <c r="R114" s="23">
        <v>0</v>
      </c>
    </row>
    <row r="115" spans="1:18" ht="15">
      <c r="A115" s="27"/>
      <c r="B115" s="20" t="s">
        <v>120</v>
      </c>
      <c r="C115" s="21">
        <f>3590+2668+123+2043</f>
        <v>8424</v>
      </c>
      <c r="D115" s="22">
        <f>506.15+696.48+16.8+288.78</f>
        <v>1508.21</v>
      </c>
      <c r="E115" s="23">
        <v>3803</v>
      </c>
      <c r="F115" s="24">
        <v>1265.95</v>
      </c>
      <c r="G115" s="37">
        <v>6392</v>
      </c>
      <c r="H115" s="25">
        <v>1264.63</v>
      </c>
      <c r="I115" s="16">
        <f>2936.98+856.18</f>
        <v>3793.16</v>
      </c>
      <c r="J115" s="25">
        <v>955.89</v>
      </c>
      <c r="K115" s="25">
        <v>955.89</v>
      </c>
      <c r="L115" s="16">
        <f>279.37+1462.16</f>
        <v>1741.5300000000002</v>
      </c>
      <c r="M115" s="25">
        <v>955.89</v>
      </c>
      <c r="N115" s="16">
        <f>1048.41+1702.73+10+2000</f>
        <v>4761.14</v>
      </c>
      <c r="O115" s="25">
        <f>838.56+1509.99+10+1999.51</f>
        <v>4358.06</v>
      </c>
      <c r="P115" s="25">
        <v>3955.89</v>
      </c>
      <c r="Q115" s="25">
        <v>3955.89</v>
      </c>
      <c r="R115" s="25">
        <v>1125.47</v>
      </c>
    </row>
    <row r="116" spans="1:18" ht="15">
      <c r="A116" s="27"/>
      <c r="B116" s="20" t="s">
        <v>144</v>
      </c>
      <c r="C116" s="21"/>
      <c r="D116" s="22"/>
      <c r="E116" s="23"/>
      <c r="F116" s="24"/>
      <c r="G116" s="37"/>
      <c r="H116" s="25"/>
      <c r="I116" s="16"/>
      <c r="J116" s="25"/>
      <c r="K116" s="25"/>
      <c r="L116" s="16"/>
      <c r="M116" s="25"/>
      <c r="N116" s="16"/>
      <c r="O116" s="25"/>
      <c r="P116" s="25"/>
      <c r="Q116" s="25"/>
      <c r="R116" s="25"/>
    </row>
    <row r="117" spans="1:18" ht="15">
      <c r="A117" s="27"/>
      <c r="B117" s="20" t="s">
        <v>121</v>
      </c>
      <c r="C117" s="21">
        <v>8486</v>
      </c>
      <c r="D117" s="22">
        <v>1460.69</v>
      </c>
      <c r="E117" s="23">
        <v>0</v>
      </c>
      <c r="F117" s="24">
        <v>0</v>
      </c>
      <c r="G117" s="23">
        <v>0</v>
      </c>
      <c r="H117" s="23">
        <v>0</v>
      </c>
      <c r="I117" s="16">
        <v>2288.57</v>
      </c>
      <c r="J117" s="23">
        <v>0</v>
      </c>
      <c r="K117" s="23">
        <v>0</v>
      </c>
      <c r="L117" s="16">
        <v>2865.64</v>
      </c>
      <c r="M117" s="23">
        <v>0</v>
      </c>
      <c r="N117" s="16">
        <v>2181</v>
      </c>
      <c r="O117" s="25">
        <v>641.89</v>
      </c>
      <c r="P117" s="25">
        <v>0</v>
      </c>
      <c r="Q117" s="25">
        <v>0</v>
      </c>
      <c r="R117" s="25">
        <v>0</v>
      </c>
    </row>
    <row r="118" spans="1:18" ht="15">
      <c r="A118" s="27"/>
      <c r="B118" s="20" t="s">
        <v>122</v>
      </c>
      <c r="C118" s="21">
        <f>25853+1178+3000+950</f>
        <v>30981</v>
      </c>
      <c r="D118" s="22">
        <f>5981.4+340+210.02+576.5</f>
        <v>7107.92</v>
      </c>
      <c r="E118" s="23">
        <v>4120</v>
      </c>
      <c r="F118" s="24">
        <f>507+9+1226.85+1411.67+337.93+600+4420.81</f>
        <v>8513.26</v>
      </c>
      <c r="G118" s="37">
        <v>7532</v>
      </c>
      <c r="H118" s="25">
        <v>12112.57</v>
      </c>
      <c r="I118" s="16">
        <f>9.8+1009.9+4819.5+277.28+392.06</f>
        <v>6508.54</v>
      </c>
      <c r="J118" s="25">
        <f>2369.24+10+2500+2884+180+392+4683.35</f>
        <v>13018.59</v>
      </c>
      <c r="K118" s="25">
        <f>2369.24+10+2500+2884+180+392+4683.35</f>
        <v>13018.59</v>
      </c>
      <c r="L118" s="16">
        <f>10+2213.61+1125.26+214.63+392</f>
        <v>3955.5</v>
      </c>
      <c r="M118" s="25">
        <f>1902.73+10+2500+2181+392+4200+200</f>
        <v>11385.73</v>
      </c>
      <c r="N118" s="16">
        <f>392+4000+200</f>
        <v>4592</v>
      </c>
      <c r="O118" s="25">
        <f>1205.93+392.09+200</f>
        <v>1798.02</v>
      </c>
      <c r="P118" s="25">
        <f>802.73+210+2000+3421+392+4000+200+758.25</f>
        <v>11783.98</v>
      </c>
      <c r="Q118" s="25">
        <f>802.73+210+2000+3421+392+4000+200+758.25</f>
        <v>11783.98</v>
      </c>
      <c r="R118" s="25">
        <f>751+1558.07+2001.67+293.99+33605.48+50+772</f>
        <v>39032.21000000001</v>
      </c>
    </row>
    <row r="119" spans="1:18" s="34" customFormat="1" ht="15">
      <c r="A119" s="27"/>
      <c r="B119" s="29" t="s">
        <v>123</v>
      </c>
      <c r="C119" s="30">
        <f>SUM(C113:C118)</f>
        <v>47916</v>
      </c>
      <c r="D119" s="38">
        <f>SUM(D113:D118)</f>
        <v>10082.07</v>
      </c>
      <c r="E119" s="30">
        <f>SUM(E113:E118)</f>
        <v>7923</v>
      </c>
      <c r="F119" s="31">
        <f>SUM(F113:F118)</f>
        <v>9779.210000000001</v>
      </c>
      <c r="G119" s="30">
        <v>13923</v>
      </c>
      <c r="H119" s="30">
        <f aca="true" t="shared" si="10" ref="H119:R119">SUM(H113:H118)</f>
        <v>13380.72</v>
      </c>
      <c r="I119" s="32">
        <f t="shared" si="10"/>
        <v>12590.27</v>
      </c>
      <c r="J119" s="30">
        <f t="shared" si="10"/>
        <v>13974.48</v>
      </c>
      <c r="K119" s="30">
        <f t="shared" si="10"/>
        <v>13974.48</v>
      </c>
      <c r="L119" s="32">
        <f t="shared" si="10"/>
        <v>8562.67</v>
      </c>
      <c r="M119" s="30">
        <f t="shared" si="10"/>
        <v>12341.619999999999</v>
      </c>
      <c r="N119" s="32">
        <f t="shared" si="10"/>
        <v>11534.14</v>
      </c>
      <c r="O119" s="30">
        <f t="shared" si="10"/>
        <v>6797.970000000001</v>
      </c>
      <c r="P119" s="30">
        <f t="shared" si="10"/>
        <v>15739.869999999999</v>
      </c>
      <c r="Q119" s="30">
        <f t="shared" si="10"/>
        <v>15739.869999999999</v>
      </c>
      <c r="R119" s="30">
        <f t="shared" si="10"/>
        <v>40157.68000000001</v>
      </c>
    </row>
    <row r="120" spans="1:18" ht="15.75" thickBot="1">
      <c r="A120" s="27"/>
      <c r="B120" s="29"/>
      <c r="C120" s="30"/>
      <c r="D120" s="30"/>
      <c r="E120" s="30"/>
      <c r="F120" s="31"/>
      <c r="G120" s="30"/>
      <c r="H120" s="30"/>
      <c r="I120" s="32"/>
      <c r="J120" s="30"/>
      <c r="K120" s="30"/>
      <c r="L120" s="32"/>
      <c r="M120" s="30"/>
      <c r="N120" s="33"/>
      <c r="O120" s="33"/>
      <c r="P120" s="51"/>
      <c r="Q120" s="25"/>
      <c r="R120" s="30"/>
    </row>
    <row r="121" spans="1:18" s="34" customFormat="1" ht="15.75" thickBot="1">
      <c r="A121" s="52"/>
      <c r="B121" s="53" t="s">
        <v>124</v>
      </c>
      <c r="C121" s="51">
        <f aca="true" t="shared" si="11" ref="C121:O121">+C25+C43+C45+C52+C57+C63+C72+C74+C79+C90+C110+C119</f>
        <v>4661400</v>
      </c>
      <c r="D121" s="51">
        <f t="shared" si="11"/>
        <v>1010000</v>
      </c>
      <c r="E121" s="51">
        <f t="shared" si="11"/>
        <v>855319</v>
      </c>
      <c r="F121" s="54">
        <f t="shared" si="11"/>
        <v>831508.5</v>
      </c>
      <c r="G121" s="51">
        <f t="shared" si="11"/>
        <v>1097046</v>
      </c>
      <c r="H121" s="51">
        <f t="shared" si="11"/>
        <v>1002800</v>
      </c>
      <c r="I121" s="54">
        <f t="shared" si="11"/>
        <v>1075880.2000000002</v>
      </c>
      <c r="J121" s="51">
        <f t="shared" si="11"/>
        <v>1279043</v>
      </c>
      <c r="K121" s="51">
        <f t="shared" si="11"/>
        <v>1295028.64</v>
      </c>
      <c r="L121" s="54">
        <f t="shared" si="11"/>
        <v>1145654.0500000003</v>
      </c>
      <c r="M121" s="51">
        <f t="shared" si="11"/>
        <v>1565076.8900000001</v>
      </c>
      <c r="N121" s="55">
        <f t="shared" si="11"/>
        <v>1353047.39</v>
      </c>
      <c r="O121" s="55">
        <f t="shared" si="11"/>
        <v>1343941.3299999998</v>
      </c>
      <c r="P121" s="56">
        <f>P25+P43+P45+P52+P57+P63+P72+P74+P79+P90+P110+P119</f>
        <v>1999999.9999999998</v>
      </c>
      <c r="Q121" s="57">
        <f>Q25+Q43+Q45+Q52+Q57+Q63+Q72+Q74+Q79+Q90+Q110+Q119</f>
        <v>1999999.9999999998</v>
      </c>
      <c r="R121" s="51">
        <f>+R25+R43+R45+R52+R57+R63+R72+R74+R79+R90+R110+R119</f>
        <v>1820698.4199999997</v>
      </c>
    </row>
    <row r="122" spans="2:17" ht="18.75">
      <c r="B122" s="59" t="s">
        <v>145</v>
      </c>
      <c r="Q122" s="60" t="s">
        <v>125</v>
      </c>
    </row>
    <row r="124" ht="15">
      <c r="C124" s="62" t="s">
        <v>126</v>
      </c>
    </row>
  </sheetData>
  <sheetProtection/>
  <mergeCells count="24">
    <mergeCell ref="A1:B1"/>
    <mergeCell ref="B3:B6"/>
    <mergeCell ref="C3:C6"/>
    <mergeCell ref="A3:A6"/>
    <mergeCell ref="G4:G6"/>
    <mergeCell ref="M4:M6"/>
    <mergeCell ref="M3:O3"/>
    <mergeCell ref="D3:F3"/>
    <mergeCell ref="D4:D6"/>
    <mergeCell ref="E4:E6"/>
    <mergeCell ref="F4:F6"/>
    <mergeCell ref="N4:N6"/>
    <mergeCell ref="P3:R3"/>
    <mergeCell ref="R4:R6"/>
    <mergeCell ref="H4:H6"/>
    <mergeCell ref="I4:I6"/>
    <mergeCell ref="J3:L3"/>
    <mergeCell ref="J4:J6"/>
    <mergeCell ref="G3:I3"/>
    <mergeCell ref="Q4:Q6"/>
    <mergeCell ref="P4:P6"/>
    <mergeCell ref="O4:O6"/>
    <mergeCell ref="K4:K6"/>
    <mergeCell ref="L4:L6"/>
  </mergeCells>
  <printOptions horizontalCentered="1"/>
  <pageMargins left="0.42" right="0.81" top="0.3" bottom="0.35" header="0" footer="0"/>
  <pageSetup horizontalDpi="300" verticalDpi="300" orientation="landscape" paperSize="9" scale="85" r:id="rId1"/>
  <rowBreaks count="3" manualBreakCount="3">
    <brk id="39" max="14" man="1"/>
    <brk id="74" max="14" man="1"/>
    <brk id="110" max="14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2012-09-20T09:18:37Z</dcterms:created>
  <dcterms:modified xsi:type="dcterms:W3CDTF">2012-09-21T10:38:12Z</dcterms:modified>
  <cp:category/>
  <cp:version/>
  <cp:contentType/>
  <cp:contentStatus/>
</cp:coreProperties>
</file>