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Jharkhand(F)" sheetId="1" r:id="rId1"/>
  </sheets>
  <definedNames>
    <definedName name="_xlnm.Print_Area" localSheetId="0">'Jharkhand(F)'!$A$1:$P$123</definedName>
    <definedName name="_xlnm.Print_Titles" localSheetId="0">'Jharkhand(F)'!$A:$B,'Jharkhand(F)'!$1:$7</definedName>
  </definedNames>
  <calcPr fullCalcOnLoad="1"/>
</workbook>
</file>

<file path=xl/sharedStrings.xml><?xml version="1.0" encoding="utf-8"?>
<sst xmlns="http://schemas.openxmlformats.org/spreadsheetml/2006/main" count="157" uniqueCount="145">
  <si>
    <t xml:space="preserve">FINANCIAL PERFORMANCE OF JHARKHAND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</si>
  <si>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</si>
  <si>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</si>
  <si>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</si>
  <si>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</si>
  <si>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</si>
  <si>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</si>
  <si>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</si>
  <si>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</si>
  <si>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</si>
  <si>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</si>
  <si>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</si>
  <si>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</si>
  <si>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</si>
  <si>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</si>
  <si>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</si>
  <si>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</si>
  <si>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</si>
  <si>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</si>
  <si>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</si>
  <si>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</si>
  <si>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</si>
  <si>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</si>
  <si>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</si>
  <si>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</si>
  <si>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</si>
  <si>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</si>
  <si>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</si>
  <si>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</si>
  <si>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</si>
  <si>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</si>
  <si>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</si>
  <si>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</si>
  <si>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</si>
  <si>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</si>
  <si>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</si>
  <si>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</si>
  <si>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</si>
  <si>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</si>
  <si>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</si>
  <si>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</si>
  <si>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</si>
  <si>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</si>
  <si>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</si>
  <si>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</si>
  <si>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</si>
  <si>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</si>
  <si>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</si>
  <si>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</si>
  <si>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</si>
  <si>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</si>
  <si>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</si>
  <si>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</si>
  <si>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</si>
  <si>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</si>
  <si>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</si>
  <si>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</si>
  <si>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</si>
  <si>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</si>
  <si>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</si>
  <si>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</si>
  <si>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</si>
  <si>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</si>
  <si>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</si>
  <si>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</si>
  <si>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</si>
  <si>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</si>
  <si>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</si>
  <si>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</si>
  <si>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</si>
  <si>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</si>
  <si>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</si>
  <si>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</si>
  <si>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</si>
  <si>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</si>
  <si>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</si>
  <si>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</si>
  <si>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</si>
  <si>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</si>
  <si>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</si>
  <si>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</si>
  <si>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</si>
  <si>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</si>
  <si>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</si>
  <si>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</si>
  <si>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</si>
  <si>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</si>
  <si>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</si>
  <si>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</si>
  <si>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</si>
  <si>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</si>
  <si>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</si>
  <si>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</si>
  <si>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</si>
  <si>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</si>
  <si>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</si>
  <si>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</si>
  <si>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</si>
  <si>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</si>
  <si>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</si>
  <si>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</si>
  <si>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</si>
  <si>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</si>
  <si>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</si>
  <si>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</si>
  <si>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</si>
  <si>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</si>
  <si>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</si>
  <si>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</si>
  <si>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</si>
  <si>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</si>
  <si>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</si>
  <si>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</si>
  <si>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</si>
  <si>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</si>
  <si>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</si>
  <si>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</si>
  <si>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</si>
  <si>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</si>
  <si>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</si>
  <si>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</si>
  <si>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</si>
  <si>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</si>
  <si>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</si>
  <si>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</si>
  <si>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* : Revision not sought by State; approved Outlay taken.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</si>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</sst>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5" fontId="30" fillId="24" borderId="17" xfId="0" applyNumberFormat="1" applyFont="1" applyFill="1" applyBorder="1" applyAlignment="1">
      <alignment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165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0" fontId="24" fillId="24" borderId="13" xfId="0" applyFont="1" applyFill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/>
    </xf>
    <xf numFmtId="2" fontId="26" fillId="24" borderId="17" xfId="0" applyNumberFormat="1" applyFont="1" applyFill="1" applyBorder="1" applyAlignment="1">
      <alignment/>
    </xf>
    <xf numFmtId="165" fontId="33" fillId="24" borderId="13" xfId="0" applyNumberFormat="1" applyFont="1" applyFill="1" applyBorder="1" applyAlignment="1">
      <alignment/>
    </xf>
    <xf numFmtId="165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1" xfId="0" applyNumberFormat="1" applyFont="1" applyFill="1" applyBorder="1" applyAlignment="1">
      <alignment/>
    </xf>
    <xf numFmtId="164" fontId="30" fillId="24" borderId="0" xfId="57" applyNumberFormat="1" applyFont="1" applyFill="1" applyAlignment="1">
      <alignment vertical="center"/>
      <protection/>
    </xf>
    <xf numFmtId="0" fontId="30" fillId="24" borderId="0" xfId="0" applyFont="1" applyFill="1" applyAlignment="1">
      <alignment/>
    </xf>
    <xf numFmtId="164" fontId="34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0" fillId="0" borderId="0" xfId="0" applyFont="1" applyAlignment="1" quotePrefix="1">
      <alignment horizontal="left"/>
    </xf>
    <xf numFmtId="0" fontId="35" fillId="24" borderId="0" xfId="0" applyFont="1" applyFill="1" applyAlignment="1">
      <alignment/>
    </xf>
    <xf numFmtId="164" fontId="35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6"/>
  <sheetViews>
    <sheetView tabSelected="1" zoomScale="85" zoomScaleNormal="85" zoomScaleSheetLayoutView="10" workbookViewId="0" topLeftCell="A117">
      <selection activeCell="C129" sqref="C129"/>
    </sheetView>
  </sheetViews>
  <sheetFormatPr defaultColWidth="9.140625" defaultRowHeight="12.75"/>
  <cols>
    <col min="1" max="1" width="5.28125" style="60" customWidth="1"/>
    <col min="2" max="2" width="55.421875" style="7" customWidth="1"/>
    <col min="3" max="3" width="15.57421875" style="3" customWidth="1"/>
    <col min="4" max="4" width="15.140625" style="3" customWidth="1"/>
    <col min="5" max="5" width="13.28125" style="3" customWidth="1"/>
    <col min="6" max="6" width="14.00390625" style="3" customWidth="1"/>
    <col min="7" max="7" width="13.8515625" style="3" customWidth="1"/>
    <col min="8" max="8" width="14.421875" style="3" customWidth="1"/>
    <col min="9" max="9" width="14.140625" style="3" customWidth="1"/>
    <col min="10" max="10" width="13.7109375" style="3" customWidth="1"/>
    <col min="11" max="11" width="13.574218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3.7109375" style="3" customWidth="1"/>
    <col min="18" max="18" width="13.8515625" style="3" customWidth="1"/>
    <col min="19" max="16384" width="9.140625" style="3" customWidth="1"/>
  </cols>
  <sheetData>
    <row r="1" spans="1:35" ht="15.75">
      <c r="A1" s="65"/>
      <c r="B1" s="65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thickBot="1">
      <c r="A3" s="66" t="s">
        <v>2</v>
      </c>
      <c r="B3" s="67" t="s">
        <v>3</v>
      </c>
      <c r="C3" s="61" t="s">
        <v>4</v>
      </c>
      <c r="D3" s="69" t="s">
        <v>5</v>
      </c>
      <c r="E3" s="69"/>
      <c r="F3" s="69"/>
      <c r="G3" s="69" t="s">
        <v>6</v>
      </c>
      <c r="H3" s="69"/>
      <c r="I3" s="69"/>
      <c r="J3" s="69" t="s">
        <v>7</v>
      </c>
      <c r="K3" s="69"/>
      <c r="L3" s="69"/>
      <c r="M3" s="62" t="s">
        <v>8</v>
      </c>
      <c r="N3" s="63"/>
      <c r="O3" s="64"/>
      <c r="P3" s="62" t="s">
        <v>9</v>
      </c>
      <c r="Q3" s="63"/>
      <c r="R3" s="6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66"/>
      <c r="B4" s="67"/>
      <c r="C4" s="68"/>
      <c r="D4" s="61" t="s">
        <v>10</v>
      </c>
      <c r="E4" s="61" t="s">
        <v>11</v>
      </c>
      <c r="F4" s="61" t="s">
        <v>12</v>
      </c>
      <c r="G4" s="61" t="s">
        <v>10</v>
      </c>
      <c r="H4" s="61" t="s">
        <v>11</v>
      </c>
      <c r="I4" s="61" t="s">
        <v>12</v>
      </c>
      <c r="J4" s="61" t="s">
        <v>10</v>
      </c>
      <c r="K4" s="61" t="s">
        <v>11</v>
      </c>
      <c r="L4" s="61" t="s">
        <v>12</v>
      </c>
      <c r="M4" s="61" t="s">
        <v>10</v>
      </c>
      <c r="N4" s="61" t="s">
        <v>11</v>
      </c>
      <c r="O4" s="61" t="s">
        <v>12</v>
      </c>
      <c r="P4" s="61" t="s">
        <v>10</v>
      </c>
      <c r="Q4" s="61" t="s">
        <v>13</v>
      </c>
      <c r="R4" s="61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66"/>
      <c r="B5" s="67"/>
      <c r="C5" s="6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66"/>
      <c r="B6" s="67"/>
      <c r="C6" s="68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/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18"/>
      <c r="B9" s="19" t="s">
        <v>29</v>
      </c>
      <c r="C9" s="20">
        <v>22878</v>
      </c>
      <c r="D9" s="20">
        <v>4478</v>
      </c>
      <c r="E9" s="20">
        <v>4478</v>
      </c>
      <c r="F9" s="20">
        <v>1089.02</v>
      </c>
      <c r="G9" s="21">
        <v>5249</v>
      </c>
      <c r="H9" s="22">
        <v>5249</v>
      </c>
      <c r="I9" s="22">
        <v>1501.05</v>
      </c>
      <c r="J9" s="20">
        <v>6075</v>
      </c>
      <c r="K9" s="20">
        <v>5600</v>
      </c>
      <c r="L9" s="20">
        <v>1203.73</v>
      </c>
      <c r="M9" s="22">
        <v>2675</v>
      </c>
      <c r="N9" s="22">
        <v>2675</v>
      </c>
      <c r="O9" s="20">
        <v>7266.92</v>
      </c>
      <c r="P9" s="22">
        <v>4102.5</v>
      </c>
      <c r="Q9" s="22">
        <v>3102.5</v>
      </c>
      <c r="R9" s="23">
        <v>3965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30</v>
      </c>
      <c r="C10" s="20">
        <v>0</v>
      </c>
      <c r="D10" s="20">
        <v>0</v>
      </c>
      <c r="E10" s="20">
        <v>0</v>
      </c>
      <c r="F10" s="20">
        <v>0</v>
      </c>
      <c r="G10" s="22">
        <v>0</v>
      </c>
      <c r="H10" s="22">
        <v>0</v>
      </c>
      <c r="I10" s="22">
        <v>558.94</v>
      </c>
      <c r="J10" s="20">
        <v>0</v>
      </c>
      <c r="K10" s="20">
        <v>0</v>
      </c>
      <c r="L10" s="20">
        <v>413.57</v>
      </c>
      <c r="M10" s="22">
        <v>1600</v>
      </c>
      <c r="N10" s="22">
        <v>1600</v>
      </c>
      <c r="O10" s="20">
        <v>0</v>
      </c>
      <c r="P10" s="22">
        <v>1547.5</v>
      </c>
      <c r="Q10" s="22">
        <v>1547.5</v>
      </c>
      <c r="R10" s="23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31</v>
      </c>
      <c r="C11" s="20">
        <v>0</v>
      </c>
      <c r="D11" s="20">
        <v>0</v>
      </c>
      <c r="E11" s="20">
        <v>0</v>
      </c>
      <c r="F11" s="20">
        <v>791.25</v>
      </c>
      <c r="G11" s="21">
        <v>0</v>
      </c>
      <c r="H11" s="22">
        <v>0</v>
      </c>
      <c r="I11" s="22">
        <v>874.17</v>
      </c>
      <c r="J11" s="20">
        <v>0</v>
      </c>
      <c r="K11" s="20">
        <v>0</v>
      </c>
      <c r="L11" s="20">
        <v>965.35</v>
      </c>
      <c r="M11" s="22">
        <v>640</v>
      </c>
      <c r="N11" s="20">
        <v>640</v>
      </c>
      <c r="O11" s="20">
        <v>0</v>
      </c>
      <c r="P11" s="22">
        <v>2145</v>
      </c>
      <c r="Q11" s="22">
        <v>1670</v>
      </c>
      <c r="R11" s="23">
        <v>2145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32</v>
      </c>
      <c r="C12" s="20"/>
      <c r="D12" s="20"/>
      <c r="E12" s="20"/>
      <c r="F12" s="20"/>
      <c r="G12" s="22"/>
      <c r="H12" s="22"/>
      <c r="I12" s="22"/>
      <c r="J12" s="20"/>
      <c r="K12" s="20"/>
      <c r="L12" s="20"/>
      <c r="M12" s="22"/>
      <c r="N12" s="22"/>
      <c r="O12" s="20"/>
      <c r="P12" s="22"/>
      <c r="Q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4"/>
      <c r="B13" s="19" t="s">
        <v>33</v>
      </c>
      <c r="C13" s="20">
        <v>2200</v>
      </c>
      <c r="D13" s="20">
        <v>450</v>
      </c>
      <c r="E13" s="20">
        <v>450</v>
      </c>
      <c r="F13" s="20">
        <v>112.63</v>
      </c>
      <c r="G13" s="21">
        <v>499</v>
      </c>
      <c r="H13" s="22">
        <v>499.08</v>
      </c>
      <c r="I13" s="22">
        <v>97.21</v>
      </c>
      <c r="J13" s="20">
        <v>647.11</v>
      </c>
      <c r="K13" s="20">
        <v>370</v>
      </c>
      <c r="L13" s="20">
        <v>261.29</v>
      </c>
      <c r="M13" s="22">
        <v>699.8</v>
      </c>
      <c r="N13" s="22">
        <v>699.8</v>
      </c>
      <c r="O13" s="20">
        <v>432.14</v>
      </c>
      <c r="P13" s="22">
        <v>2102</v>
      </c>
      <c r="Q13" s="22">
        <v>525</v>
      </c>
      <c r="R13" s="23">
        <v>593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4"/>
      <c r="B14" s="19" t="s">
        <v>34</v>
      </c>
      <c r="C14" s="20">
        <v>1155</v>
      </c>
      <c r="D14" s="20">
        <v>231</v>
      </c>
      <c r="E14" s="20">
        <v>231</v>
      </c>
      <c r="F14" s="20">
        <v>221.81</v>
      </c>
      <c r="G14" s="21">
        <v>474</v>
      </c>
      <c r="H14" s="22">
        <v>473.86</v>
      </c>
      <c r="I14" s="22">
        <v>360.96</v>
      </c>
      <c r="J14" s="20">
        <v>731</v>
      </c>
      <c r="K14" s="20">
        <v>713.67</v>
      </c>
      <c r="L14" s="20">
        <v>689.9</v>
      </c>
      <c r="M14" s="22">
        <v>900</v>
      </c>
      <c r="N14" s="22">
        <v>900</v>
      </c>
      <c r="O14" s="20">
        <v>853.85</v>
      </c>
      <c r="P14" s="22">
        <v>4660.61</v>
      </c>
      <c r="Q14" s="22">
        <v>2500</v>
      </c>
      <c r="R14" s="23">
        <v>1851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4"/>
      <c r="B15" s="19" t="s">
        <v>35</v>
      </c>
      <c r="C15" s="20">
        <v>2075</v>
      </c>
      <c r="D15" s="20">
        <v>421</v>
      </c>
      <c r="E15" s="20">
        <v>421</v>
      </c>
      <c r="F15" s="20">
        <v>445.71</v>
      </c>
      <c r="G15" s="21">
        <v>432</v>
      </c>
      <c r="H15" s="22">
        <v>432.37</v>
      </c>
      <c r="I15" s="22">
        <v>333.64</v>
      </c>
      <c r="J15" s="20">
        <v>677</v>
      </c>
      <c r="K15" s="20">
        <v>667</v>
      </c>
      <c r="L15" s="20">
        <v>649.49</v>
      </c>
      <c r="M15" s="22">
        <v>700.2</v>
      </c>
      <c r="N15" s="22">
        <v>700.2</v>
      </c>
      <c r="O15" s="20">
        <v>607.35</v>
      </c>
      <c r="P15" s="22">
        <v>1137.39</v>
      </c>
      <c r="Q15" s="22">
        <v>825</v>
      </c>
      <c r="R15" s="23">
        <v>826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4"/>
      <c r="B16" s="19" t="s">
        <v>36</v>
      </c>
      <c r="C16" s="20">
        <v>46277</v>
      </c>
      <c r="D16" s="20">
        <v>8500</v>
      </c>
      <c r="E16" s="20">
        <v>8500</v>
      </c>
      <c r="F16" s="20">
        <v>8329.82</v>
      </c>
      <c r="G16" s="21">
        <v>9000</v>
      </c>
      <c r="H16" s="22">
        <v>9000</v>
      </c>
      <c r="I16" s="22">
        <v>8105.79</v>
      </c>
      <c r="J16" s="20">
        <v>10702</v>
      </c>
      <c r="K16" s="20">
        <v>10702</v>
      </c>
      <c r="L16" s="20">
        <v>9610.12</v>
      </c>
      <c r="M16" s="22">
        <v>10100</v>
      </c>
      <c r="N16" s="22">
        <v>9330</v>
      </c>
      <c r="O16" s="20">
        <v>8833.38</v>
      </c>
      <c r="P16" s="22">
        <v>11500</v>
      </c>
      <c r="Q16" s="22">
        <v>11000</v>
      </c>
      <c r="R16" s="23">
        <v>10531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4"/>
      <c r="B17" s="19" t="s">
        <v>37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2">
        <v>0</v>
      </c>
      <c r="I17" s="22">
        <v>0</v>
      </c>
      <c r="J17" s="20"/>
      <c r="K17" s="20"/>
      <c r="L17" s="20">
        <v>0</v>
      </c>
      <c r="M17" s="22">
        <v>0</v>
      </c>
      <c r="N17" s="22">
        <v>0</v>
      </c>
      <c r="O17" s="20">
        <v>0</v>
      </c>
      <c r="P17" s="22">
        <v>0</v>
      </c>
      <c r="Q17" s="22">
        <v>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4"/>
      <c r="B18" s="19" t="s">
        <v>38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  <c r="H18" s="22">
        <v>0</v>
      </c>
      <c r="I18" s="22">
        <v>0</v>
      </c>
      <c r="J18" s="20"/>
      <c r="K18" s="20"/>
      <c r="L18" s="20">
        <v>0</v>
      </c>
      <c r="M18" s="22">
        <v>0</v>
      </c>
      <c r="N18" s="22">
        <v>0</v>
      </c>
      <c r="O18" s="20">
        <v>0</v>
      </c>
      <c r="P18" s="22">
        <v>0</v>
      </c>
      <c r="Q18" s="22">
        <v>0</v>
      </c>
      <c r="R18" s="23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4"/>
      <c r="B19" s="19" t="s">
        <v>39</v>
      </c>
      <c r="C19" s="20">
        <v>0</v>
      </c>
      <c r="D19" s="20">
        <v>0</v>
      </c>
      <c r="E19" s="20">
        <v>0</v>
      </c>
      <c r="F19" s="20">
        <v>1202</v>
      </c>
      <c r="G19" s="21">
        <v>0</v>
      </c>
      <c r="H19" s="22">
        <v>0</v>
      </c>
      <c r="I19" s="22">
        <v>1338</v>
      </c>
      <c r="J19" s="20"/>
      <c r="K19" s="20"/>
      <c r="L19" s="20">
        <v>1495.97</v>
      </c>
      <c r="M19" s="22">
        <v>2070</v>
      </c>
      <c r="N19" s="22">
        <v>2070</v>
      </c>
      <c r="O19" s="20">
        <v>0</v>
      </c>
      <c r="P19" s="22">
        <v>2380</v>
      </c>
      <c r="Q19" s="22">
        <v>1980</v>
      </c>
      <c r="R19" s="23">
        <v>2080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4"/>
      <c r="B20" s="19" t="s">
        <v>40</v>
      </c>
      <c r="C20" s="20">
        <v>0</v>
      </c>
      <c r="D20" s="20">
        <v>0</v>
      </c>
      <c r="E20" s="20">
        <v>0</v>
      </c>
      <c r="F20" s="20">
        <v>0</v>
      </c>
      <c r="G20" s="21">
        <v>0</v>
      </c>
      <c r="H20" s="22">
        <v>0</v>
      </c>
      <c r="I20" s="22">
        <v>0</v>
      </c>
      <c r="J20" s="20"/>
      <c r="K20" s="20"/>
      <c r="L20" s="20">
        <v>0</v>
      </c>
      <c r="M20" s="22">
        <v>0</v>
      </c>
      <c r="N20" s="22">
        <v>0</v>
      </c>
      <c r="O20" s="20">
        <v>0</v>
      </c>
      <c r="P20" s="22">
        <v>0</v>
      </c>
      <c r="Q20" s="22">
        <v>0</v>
      </c>
      <c r="R20" s="23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4"/>
      <c r="B21" s="19" t="s">
        <v>41</v>
      </c>
      <c r="C21" s="20">
        <v>7900</v>
      </c>
      <c r="D21" s="20">
        <v>1200</v>
      </c>
      <c r="E21" s="20">
        <v>1200</v>
      </c>
      <c r="F21" s="20">
        <v>782</v>
      </c>
      <c r="G21" s="21">
        <v>1500</v>
      </c>
      <c r="H21" s="22">
        <v>1500</v>
      </c>
      <c r="I21" s="22">
        <v>699.61</v>
      </c>
      <c r="J21" s="20">
        <v>1300</v>
      </c>
      <c r="K21" s="20">
        <v>1300</v>
      </c>
      <c r="L21" s="22">
        <v>958.64</v>
      </c>
      <c r="M21" s="22">
        <v>2400</v>
      </c>
      <c r="N21" s="22">
        <v>2400</v>
      </c>
      <c r="O21" s="22">
        <v>2340</v>
      </c>
      <c r="P21" s="22">
        <v>18000</v>
      </c>
      <c r="Q21" s="22">
        <v>11155</v>
      </c>
      <c r="R21" s="25">
        <v>10652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4"/>
      <c r="B22" s="19" t="s">
        <v>127</v>
      </c>
      <c r="C22" s="20"/>
      <c r="D22" s="20"/>
      <c r="E22" s="20"/>
      <c r="F22" s="20"/>
      <c r="G22" s="22"/>
      <c r="H22" s="22"/>
      <c r="I22" s="22"/>
      <c r="J22" s="20"/>
      <c r="K22" s="20"/>
      <c r="L22" s="22"/>
      <c r="M22" s="22"/>
      <c r="N22" s="22"/>
      <c r="O22" s="22"/>
      <c r="P22" s="22"/>
      <c r="Q22" s="22"/>
      <c r="R22" s="2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4"/>
      <c r="B23" s="19" t="s">
        <v>42</v>
      </c>
      <c r="C23" s="20">
        <v>0</v>
      </c>
      <c r="D23" s="20">
        <v>0</v>
      </c>
      <c r="E23" s="20">
        <v>0</v>
      </c>
      <c r="F23" s="20">
        <f>62.98+64.43</f>
        <v>127.41</v>
      </c>
      <c r="G23" s="21">
        <v>0</v>
      </c>
      <c r="H23" s="22">
        <v>0</v>
      </c>
      <c r="I23" s="22">
        <v>0</v>
      </c>
      <c r="J23" s="20"/>
      <c r="K23" s="20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5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4"/>
      <c r="B24" s="19" t="s">
        <v>43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2">
        <v>0</v>
      </c>
      <c r="I24" s="22">
        <f>4.97+159.07</f>
        <v>164.04</v>
      </c>
      <c r="J24" s="20"/>
      <c r="K24" s="20"/>
      <c r="L24" s="22">
        <f>1.79+124.43</f>
        <v>126.22000000000001</v>
      </c>
      <c r="M24" s="22">
        <v>1005</v>
      </c>
      <c r="N24" s="22">
        <v>1005</v>
      </c>
      <c r="O24" s="22">
        <v>0</v>
      </c>
      <c r="P24" s="22">
        <f>40+300+210+275</f>
        <v>825</v>
      </c>
      <c r="Q24" s="22">
        <f>40+300+210+275</f>
        <v>825</v>
      </c>
      <c r="R24" s="25">
        <f>40+210+200+150</f>
        <v>600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2" customFormat="1" ht="15" customHeight="1">
      <c r="A25" s="24"/>
      <c r="B25" s="26" t="s">
        <v>44</v>
      </c>
      <c r="C25" s="27">
        <f>SUM(C9:C24)</f>
        <v>82485</v>
      </c>
      <c r="D25" s="27">
        <f>SUM(D9:D24)</f>
        <v>15280</v>
      </c>
      <c r="E25" s="27">
        <f>SUM(E9:E24)</f>
        <v>15280</v>
      </c>
      <c r="F25" s="27">
        <f>SUM(F9:F24)</f>
        <v>13101.65</v>
      </c>
      <c r="G25" s="28">
        <f>SUM(G8:G24)</f>
        <v>17154</v>
      </c>
      <c r="H25" s="28">
        <f aca="true" t="shared" si="0" ref="H25:M25">SUM(H9:H24)</f>
        <v>17154.309999999998</v>
      </c>
      <c r="I25" s="28">
        <f t="shared" si="0"/>
        <v>14033.410000000002</v>
      </c>
      <c r="J25" s="27">
        <f t="shared" si="0"/>
        <v>20132.11</v>
      </c>
      <c r="K25" s="27">
        <f t="shared" si="0"/>
        <v>19352.67</v>
      </c>
      <c r="L25" s="28">
        <f t="shared" si="0"/>
        <v>16374.279999999999</v>
      </c>
      <c r="M25" s="28">
        <f t="shared" si="0"/>
        <v>22790</v>
      </c>
      <c r="N25" s="28">
        <f>SUM(N8:N24)</f>
        <v>22020</v>
      </c>
      <c r="O25" s="28">
        <f>SUM(O9:O24)</f>
        <v>20333.64</v>
      </c>
      <c r="P25" s="28">
        <f>SUM(P9:P24)</f>
        <v>48400</v>
      </c>
      <c r="Q25" s="29">
        <f>SUM(Q9:Q24)</f>
        <v>35130</v>
      </c>
      <c r="R25" s="30">
        <f>SUM(R9:R24)</f>
        <v>33243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ht="15" customHeight="1">
      <c r="A26" s="24"/>
      <c r="B26" s="19"/>
      <c r="C26" s="20"/>
      <c r="D26" s="20"/>
      <c r="E26" s="20"/>
      <c r="F26" s="33"/>
      <c r="G26" s="22"/>
      <c r="H26" s="22"/>
      <c r="I26" s="22"/>
      <c r="J26" s="20"/>
      <c r="K26" s="34"/>
      <c r="L26" s="28"/>
      <c r="M26" s="22"/>
      <c r="N26" s="22"/>
      <c r="O26" s="28"/>
      <c r="P26" s="22"/>
      <c r="Q26" s="22"/>
      <c r="R26" s="3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4" t="s">
        <v>45</v>
      </c>
      <c r="B27" s="14" t="s">
        <v>128</v>
      </c>
      <c r="C27" s="20"/>
      <c r="D27" s="20"/>
      <c r="E27" s="20"/>
      <c r="F27" s="20"/>
      <c r="G27" s="22"/>
      <c r="H27" s="22"/>
      <c r="I27" s="22"/>
      <c r="J27" s="20"/>
      <c r="K27" s="20"/>
      <c r="L27" s="22"/>
      <c r="M27" s="22"/>
      <c r="N27" s="22"/>
      <c r="O27" s="22"/>
      <c r="P27" s="22"/>
      <c r="Q27" s="22"/>
      <c r="R27" s="2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4"/>
      <c r="B28" s="14" t="s">
        <v>129</v>
      </c>
      <c r="C28" s="20"/>
      <c r="D28" s="20"/>
      <c r="E28" s="20"/>
      <c r="F28" s="20">
        <v>0</v>
      </c>
      <c r="G28" s="22"/>
      <c r="H28" s="22"/>
      <c r="I28" s="22"/>
      <c r="J28" s="20"/>
      <c r="K28" s="20"/>
      <c r="L28" s="22"/>
      <c r="M28" s="22"/>
      <c r="N28" s="22"/>
      <c r="O28" s="22"/>
      <c r="P28" s="22"/>
      <c r="Q28" s="22"/>
      <c r="R28" s="2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4"/>
      <c r="B29" s="19" t="s">
        <v>46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  <c r="H29" s="22">
        <v>0</v>
      </c>
      <c r="I29" s="22">
        <v>0</v>
      </c>
      <c r="J29" s="20">
        <v>1200</v>
      </c>
      <c r="K29" s="20">
        <v>500</v>
      </c>
      <c r="L29" s="22">
        <v>232.85</v>
      </c>
      <c r="M29" s="22">
        <v>700</v>
      </c>
      <c r="N29" s="22">
        <v>700</v>
      </c>
      <c r="O29" s="22">
        <v>396.75</v>
      </c>
      <c r="P29" s="22">
        <v>700</v>
      </c>
      <c r="Q29" s="22">
        <v>700</v>
      </c>
      <c r="R29" s="25"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4"/>
      <c r="B30" s="19" t="s">
        <v>47</v>
      </c>
      <c r="C30" s="20">
        <v>0</v>
      </c>
      <c r="D30" s="20">
        <v>0</v>
      </c>
      <c r="E30" s="20">
        <v>0</v>
      </c>
      <c r="F30" s="20">
        <v>0</v>
      </c>
      <c r="G30" s="21">
        <v>0</v>
      </c>
      <c r="H30" s="22">
        <v>0</v>
      </c>
      <c r="I30" s="22">
        <v>0</v>
      </c>
      <c r="J30" s="20"/>
      <c r="K30" s="20"/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5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4"/>
      <c r="B31" s="19" t="s">
        <v>48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>
        <v>0</v>
      </c>
      <c r="I31" s="22">
        <v>0</v>
      </c>
      <c r="J31" s="20"/>
      <c r="K31" s="20"/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5">
        <v>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4"/>
      <c r="B32" s="19" t="s">
        <v>49</v>
      </c>
      <c r="C32" s="20">
        <v>0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22">
        <v>0</v>
      </c>
      <c r="J32" s="20"/>
      <c r="K32" s="20"/>
      <c r="L32" s="22">
        <v>0</v>
      </c>
      <c r="M32" s="22">
        <v>0</v>
      </c>
      <c r="N32" s="22">
        <v>0</v>
      </c>
      <c r="O32" s="22">
        <v>0</v>
      </c>
      <c r="P32" s="22"/>
      <c r="Q32" s="22">
        <v>0</v>
      </c>
      <c r="R32" s="25">
        <v>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4"/>
      <c r="B33" s="19" t="s">
        <v>50</v>
      </c>
      <c r="C33" s="20">
        <v>0</v>
      </c>
      <c r="D33" s="20">
        <v>0</v>
      </c>
      <c r="E33" s="20">
        <v>0</v>
      </c>
      <c r="F33" s="20">
        <v>1070.13</v>
      </c>
      <c r="G33" s="21">
        <v>0</v>
      </c>
      <c r="H33" s="22">
        <v>0</v>
      </c>
      <c r="I33" s="22">
        <v>1677.65</v>
      </c>
      <c r="J33" s="20">
        <v>2970.18</v>
      </c>
      <c r="K33" s="20">
        <v>2375.73</v>
      </c>
      <c r="L33" s="22">
        <v>1396.97</v>
      </c>
      <c r="M33" s="22">
        <v>2613.3</v>
      </c>
      <c r="N33" s="22">
        <v>2613.3</v>
      </c>
      <c r="O33" s="22">
        <v>2279.08</v>
      </c>
      <c r="P33" s="22">
        <v>2434.63</v>
      </c>
      <c r="Q33" s="22">
        <v>2434.63</v>
      </c>
      <c r="R33" s="25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4"/>
      <c r="B34" s="19" t="s">
        <v>51</v>
      </c>
      <c r="C34" s="20"/>
      <c r="D34" s="20"/>
      <c r="E34" s="20"/>
      <c r="F34" s="20">
        <v>0</v>
      </c>
      <c r="G34" s="22">
        <v>0</v>
      </c>
      <c r="H34" s="22">
        <v>0</v>
      </c>
      <c r="I34" s="22">
        <v>0</v>
      </c>
      <c r="J34" s="20"/>
      <c r="K34" s="20"/>
      <c r="L34" s="22">
        <v>0</v>
      </c>
      <c r="M34" s="22">
        <v>1420</v>
      </c>
      <c r="N34" s="22">
        <v>1420</v>
      </c>
      <c r="O34" s="22">
        <v>388.83</v>
      </c>
      <c r="P34" s="22"/>
      <c r="Q34" s="22">
        <v>97</v>
      </c>
      <c r="R34" s="25">
        <v>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4"/>
      <c r="B35" s="19" t="s">
        <v>52</v>
      </c>
      <c r="C35" s="20">
        <v>315683</v>
      </c>
      <c r="D35" s="20">
        <v>60692</v>
      </c>
      <c r="E35" s="20">
        <v>60692</v>
      </c>
      <c r="F35" s="20">
        <v>0</v>
      </c>
      <c r="G35" s="22">
        <v>66200</v>
      </c>
      <c r="H35" s="22">
        <v>66200</v>
      </c>
      <c r="I35" s="22">
        <v>0</v>
      </c>
      <c r="J35" s="20"/>
      <c r="K35" s="20"/>
      <c r="L35" s="22">
        <v>0</v>
      </c>
      <c r="M35" s="22">
        <v>0</v>
      </c>
      <c r="N35" s="22">
        <v>0</v>
      </c>
      <c r="O35" s="22">
        <v>0</v>
      </c>
      <c r="P35" s="22"/>
      <c r="Q35" s="22">
        <v>0</v>
      </c>
      <c r="R35" s="25">
        <v>2811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4"/>
      <c r="B36" s="14" t="s">
        <v>130</v>
      </c>
      <c r="C36" s="20"/>
      <c r="D36" s="20"/>
      <c r="E36" s="20"/>
      <c r="F36" s="20"/>
      <c r="G36" s="22"/>
      <c r="H36" s="22"/>
      <c r="I36" s="22"/>
      <c r="J36" s="20"/>
      <c r="K36" s="20"/>
      <c r="L36" s="22"/>
      <c r="M36" s="22"/>
      <c r="N36" s="22"/>
      <c r="O36" s="22"/>
      <c r="P36" s="22"/>
      <c r="Q36" s="22"/>
      <c r="R36" s="2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4"/>
      <c r="B37" s="19" t="s">
        <v>53</v>
      </c>
      <c r="C37" s="20">
        <v>0</v>
      </c>
      <c r="D37" s="20"/>
      <c r="E37" s="20"/>
      <c r="F37" s="20">
        <v>9652.22</v>
      </c>
      <c r="G37" s="21">
        <v>0</v>
      </c>
      <c r="H37" s="22">
        <v>0</v>
      </c>
      <c r="I37" s="22">
        <v>9902.53</v>
      </c>
      <c r="J37" s="20">
        <v>12472.96</v>
      </c>
      <c r="K37" s="20">
        <v>13103.09</v>
      </c>
      <c r="L37" s="22">
        <v>9871.28</v>
      </c>
      <c r="M37" s="22">
        <v>15914.47</v>
      </c>
      <c r="N37" s="22">
        <v>15914.47</v>
      </c>
      <c r="O37" s="22">
        <v>15149.62</v>
      </c>
      <c r="P37" s="22">
        <v>1700</v>
      </c>
      <c r="Q37" s="22">
        <v>1700</v>
      </c>
      <c r="R37" s="25">
        <v>0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4"/>
      <c r="B38" s="19" t="s">
        <v>54</v>
      </c>
      <c r="C38" s="20">
        <v>0</v>
      </c>
      <c r="D38" s="20">
        <v>0</v>
      </c>
      <c r="E38" s="20">
        <v>0</v>
      </c>
      <c r="F38" s="20">
        <f>3041.72+71429.94</f>
        <v>74471.66</v>
      </c>
      <c r="G38" s="35">
        <v>0</v>
      </c>
      <c r="H38" s="22">
        <v>0</v>
      </c>
      <c r="I38" s="22">
        <v>7420.25</v>
      </c>
      <c r="J38" s="20">
        <v>7451.6</v>
      </c>
      <c r="K38" s="20">
        <v>2575</v>
      </c>
      <c r="L38" s="22">
        <f>699.58+7419.44</f>
        <v>8119.0199999999995</v>
      </c>
      <c r="M38" s="22">
        <v>3814.6</v>
      </c>
      <c r="N38" s="22">
        <f>744.6+3070</f>
        <v>3814.6</v>
      </c>
      <c r="O38" s="22">
        <v>0</v>
      </c>
      <c r="P38" s="22">
        <f>15000+1000+12911.23</f>
        <v>28911.23</v>
      </c>
      <c r="Q38" s="22">
        <f>15000+1000+12911.23</f>
        <v>28911.23</v>
      </c>
      <c r="R38" s="25">
        <v>12132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4"/>
      <c r="B39" s="14" t="s">
        <v>55</v>
      </c>
      <c r="C39" s="20">
        <v>11550</v>
      </c>
      <c r="D39" s="20">
        <v>2200</v>
      </c>
      <c r="E39" s="20">
        <v>2200</v>
      </c>
      <c r="F39" s="20">
        <v>2575.73</v>
      </c>
      <c r="G39" s="35">
        <v>2300</v>
      </c>
      <c r="H39" s="22">
        <v>2300</v>
      </c>
      <c r="I39" s="22">
        <v>1942.74</v>
      </c>
      <c r="J39" s="20">
        <v>2575.04</v>
      </c>
      <c r="K39" s="20">
        <v>3143.73</v>
      </c>
      <c r="L39" s="22">
        <v>1703.06</v>
      </c>
      <c r="M39" s="22">
        <v>1975</v>
      </c>
      <c r="N39" s="22">
        <v>1975</v>
      </c>
      <c r="O39" s="22">
        <v>1616.5</v>
      </c>
      <c r="P39" s="22">
        <v>4100</v>
      </c>
      <c r="Q39" s="22">
        <v>2400</v>
      </c>
      <c r="R39" s="25">
        <v>1968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4"/>
      <c r="B40" s="14" t="s">
        <v>131</v>
      </c>
      <c r="C40" s="20"/>
      <c r="D40" s="20"/>
      <c r="E40" s="20"/>
      <c r="F40" s="20"/>
      <c r="G40" s="35"/>
      <c r="H40" s="22"/>
      <c r="I40" s="22"/>
      <c r="J40" s="20"/>
      <c r="K40" s="20"/>
      <c r="L40" s="22"/>
      <c r="M40" s="22"/>
      <c r="N40" s="22"/>
      <c r="O40" s="22"/>
      <c r="P40" s="22"/>
      <c r="Q40" s="22"/>
      <c r="R40" s="2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4"/>
      <c r="B41" s="19" t="s">
        <v>56</v>
      </c>
      <c r="C41" s="20">
        <v>0</v>
      </c>
      <c r="D41" s="20">
        <v>0</v>
      </c>
      <c r="E41" s="20">
        <v>0</v>
      </c>
      <c r="F41" s="20">
        <v>1373.97</v>
      </c>
      <c r="G41" s="35">
        <v>0</v>
      </c>
      <c r="H41" s="22">
        <v>0</v>
      </c>
      <c r="I41" s="22">
        <v>1792.18</v>
      </c>
      <c r="J41" s="20">
        <v>14333.89</v>
      </c>
      <c r="K41" s="20">
        <v>17833.89</v>
      </c>
      <c r="L41" s="22">
        <v>1885.14</v>
      </c>
      <c r="M41" s="22">
        <v>30415</v>
      </c>
      <c r="N41" s="22">
        <f>16400+21815</f>
        <v>38215</v>
      </c>
      <c r="O41" s="22">
        <v>21731.25</v>
      </c>
      <c r="P41" s="22">
        <f>4500+25.9</f>
        <v>4525.9</v>
      </c>
      <c r="Q41" s="22">
        <f>4450+75.9</f>
        <v>4525.9</v>
      </c>
      <c r="R41" s="25">
        <v>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4"/>
      <c r="B42" s="19" t="s">
        <v>57</v>
      </c>
      <c r="C42" s="36">
        <v>0</v>
      </c>
      <c r="D42" s="20">
        <v>0</v>
      </c>
      <c r="E42" s="20">
        <v>0</v>
      </c>
      <c r="F42" s="20">
        <f>23.17+1338.92+143.66+11198.39+12300+27748.55</f>
        <v>52752.69</v>
      </c>
      <c r="G42" s="35">
        <v>0</v>
      </c>
      <c r="H42" s="22">
        <v>0</v>
      </c>
      <c r="I42" s="22">
        <v>27748.55</v>
      </c>
      <c r="J42" s="20">
        <f>64.11+1000+67.5+830.79+25000+50+15247+15351.28</f>
        <v>57610.68</v>
      </c>
      <c r="K42" s="20">
        <f>64.11+1000+67.5+830.79+24400+10+15950</f>
        <v>42322.4</v>
      </c>
      <c r="L42" s="22">
        <f>58.89+67.5+24727.66+16400</f>
        <v>41254.05</v>
      </c>
      <c r="M42" s="22">
        <v>19570.94</v>
      </c>
      <c r="N42" s="22">
        <f>200+100+26009.4</f>
        <v>26309.4</v>
      </c>
      <c r="O42" s="22">
        <f>28612.74+197+99.08+16400+5628.08+3041.59</f>
        <v>53978.490000000005</v>
      </c>
      <c r="P42" s="22">
        <f>927.74+141.28+200+50+22661.78+250+16400+9500+2142</f>
        <v>52272.8</v>
      </c>
      <c r="Q42" s="22">
        <f>927.74+141.28+200+50+250+16400+9500+2142+28564.78</f>
        <v>58175.8</v>
      </c>
      <c r="R42" s="25">
        <f>52+200+22+2243+16400+6562+1020</f>
        <v>26499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2" customFormat="1" ht="15" customHeight="1">
      <c r="A43" s="24"/>
      <c r="B43" s="26" t="s">
        <v>58</v>
      </c>
      <c r="C43" s="27">
        <f>SUM(C29:C42)</f>
        <v>327233</v>
      </c>
      <c r="D43" s="27">
        <f>SUM(D29:D42)</f>
        <v>62892</v>
      </c>
      <c r="E43" s="27">
        <f>SUM(E29:E42)</f>
        <v>62892</v>
      </c>
      <c r="F43" s="27">
        <f>SUM(F29:F42)</f>
        <v>141896.40000000002</v>
      </c>
      <c r="G43" s="37">
        <f>SUM(G28:G42)</f>
        <v>68500</v>
      </c>
      <c r="H43" s="37">
        <f>SUM(H28:H42)</f>
        <v>68500</v>
      </c>
      <c r="I43" s="37">
        <f>SUM(I28:I42)</f>
        <v>50483.9</v>
      </c>
      <c r="J43" s="27">
        <f>SUM(J29:J42)</f>
        <v>98614.35</v>
      </c>
      <c r="K43" s="27">
        <f>SUM(K29:K42)</f>
        <v>81853.84</v>
      </c>
      <c r="L43" s="28">
        <f>SUM(L29:L42)</f>
        <v>64462.37</v>
      </c>
      <c r="M43" s="28">
        <f>SUM(M29:M42)</f>
        <v>76423.31</v>
      </c>
      <c r="N43" s="37">
        <f>SUM(N28:N42)</f>
        <v>90961.76999999999</v>
      </c>
      <c r="O43" s="28">
        <f>SUM(O29:O42)</f>
        <v>95540.52</v>
      </c>
      <c r="P43" s="28">
        <f>SUM(P29:P42)</f>
        <v>94644.56</v>
      </c>
      <c r="Q43" s="29">
        <f>SUM(Q29:Q42)</f>
        <v>98944.56</v>
      </c>
      <c r="R43" s="30">
        <f>SUM(R29:R42)</f>
        <v>43410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ht="15" customHeight="1">
      <c r="A44" s="24"/>
      <c r="B44" s="19"/>
      <c r="C44" s="20"/>
      <c r="D44" s="20"/>
      <c r="E44" s="20"/>
      <c r="F44" s="33"/>
      <c r="G44" s="22"/>
      <c r="H44" s="22"/>
      <c r="I44" s="22"/>
      <c r="J44" s="20"/>
      <c r="K44" s="34"/>
      <c r="L44" s="28"/>
      <c r="M44" s="22"/>
      <c r="N44" s="22"/>
      <c r="O44" s="28"/>
      <c r="P44" s="22"/>
      <c r="Q44" s="22"/>
      <c r="R44" s="3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4" t="s">
        <v>59</v>
      </c>
      <c r="B45" s="14" t="s">
        <v>132</v>
      </c>
      <c r="C45" s="27">
        <v>0</v>
      </c>
      <c r="D45" s="27">
        <v>0</v>
      </c>
      <c r="E45" s="27">
        <v>0</v>
      </c>
      <c r="F45" s="27">
        <v>0</v>
      </c>
      <c r="G45" s="28">
        <v>2208</v>
      </c>
      <c r="H45" s="28">
        <v>2208</v>
      </c>
      <c r="I45" s="28">
        <v>0</v>
      </c>
      <c r="J45" s="27">
        <v>0</v>
      </c>
      <c r="K45" s="27">
        <v>24000</v>
      </c>
      <c r="L45" s="28">
        <v>4134.94</v>
      </c>
      <c r="M45" s="28">
        <f>2429+24000</f>
        <v>26429</v>
      </c>
      <c r="N45" s="28">
        <f>2429+24000</f>
        <v>26429</v>
      </c>
      <c r="O45" s="28">
        <f>22258+2429+5283+105</f>
        <v>30075</v>
      </c>
      <c r="P45" s="28">
        <v>39212</v>
      </c>
      <c r="Q45" s="28">
        <f>3500+28000+2429+5283</f>
        <v>39212</v>
      </c>
      <c r="R45" s="30">
        <f>26250+2429+5283</f>
        <v>33962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38"/>
      <c r="B46" s="19"/>
      <c r="C46" s="20"/>
      <c r="D46" s="20"/>
      <c r="E46" s="20"/>
      <c r="F46" s="20"/>
      <c r="G46" s="22"/>
      <c r="H46" s="22"/>
      <c r="I46" s="22"/>
      <c r="J46" s="20"/>
      <c r="K46" s="20"/>
      <c r="L46" s="22"/>
      <c r="M46" s="22"/>
      <c r="N46" s="22"/>
      <c r="O46" s="22"/>
      <c r="P46" s="22"/>
      <c r="Q46" s="22"/>
      <c r="R46" s="2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24" t="s">
        <v>60</v>
      </c>
      <c r="B47" s="14" t="s">
        <v>133</v>
      </c>
      <c r="C47" s="20"/>
      <c r="D47" s="20"/>
      <c r="E47" s="20"/>
      <c r="F47" s="20"/>
      <c r="G47" s="22"/>
      <c r="H47" s="22"/>
      <c r="I47" s="22"/>
      <c r="J47" s="20"/>
      <c r="K47" s="20"/>
      <c r="L47" s="22"/>
      <c r="M47" s="22"/>
      <c r="N47" s="22"/>
      <c r="O47" s="22"/>
      <c r="P47" s="22"/>
      <c r="Q47" s="22"/>
      <c r="R47" s="2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4"/>
      <c r="B48" s="19" t="s">
        <v>61</v>
      </c>
      <c r="C48" s="20">
        <v>172086</v>
      </c>
      <c r="D48" s="20">
        <v>29000</v>
      </c>
      <c r="E48" s="20">
        <v>29000</v>
      </c>
      <c r="F48" s="20">
        <v>21083.8</v>
      </c>
      <c r="G48" s="35">
        <v>29000</v>
      </c>
      <c r="H48" s="22">
        <v>29000</v>
      </c>
      <c r="I48" s="22">
        <v>25569.69</v>
      </c>
      <c r="J48" s="20">
        <v>35642.5</v>
      </c>
      <c r="K48" s="20">
        <v>32250</v>
      </c>
      <c r="L48" s="22">
        <v>25659.04</v>
      </c>
      <c r="M48" s="22">
        <v>37475</v>
      </c>
      <c r="N48" s="22">
        <v>33475</v>
      </c>
      <c r="O48" s="22">
        <v>30742</v>
      </c>
      <c r="P48" s="22">
        <v>31250</v>
      </c>
      <c r="Q48" s="22">
        <v>31590</v>
      </c>
      <c r="R48" s="25">
        <v>26148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4"/>
      <c r="B49" s="19" t="s">
        <v>62</v>
      </c>
      <c r="C49" s="20">
        <v>32584</v>
      </c>
      <c r="D49" s="20">
        <v>6000</v>
      </c>
      <c r="E49" s="20">
        <v>6000</v>
      </c>
      <c r="F49" s="20">
        <v>2365.56</v>
      </c>
      <c r="G49" s="35">
        <v>6000</v>
      </c>
      <c r="H49" s="22">
        <v>6000</v>
      </c>
      <c r="I49" s="22">
        <v>4204.36</v>
      </c>
      <c r="J49" s="20">
        <v>7500</v>
      </c>
      <c r="K49" s="20">
        <v>7500</v>
      </c>
      <c r="L49" s="22">
        <v>2883.5</v>
      </c>
      <c r="M49" s="22">
        <v>7000</v>
      </c>
      <c r="N49" s="22">
        <v>7000</v>
      </c>
      <c r="O49" s="22">
        <v>4501.35</v>
      </c>
      <c r="P49" s="22">
        <v>11000</v>
      </c>
      <c r="Q49" s="22">
        <v>6300</v>
      </c>
      <c r="R49" s="25">
        <v>4464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4"/>
      <c r="B50" s="19" t="s">
        <v>63</v>
      </c>
      <c r="C50" s="20">
        <v>0</v>
      </c>
      <c r="D50" s="20">
        <v>0</v>
      </c>
      <c r="E50" s="20">
        <v>0</v>
      </c>
      <c r="F50" s="20">
        <v>0</v>
      </c>
      <c r="G50" s="35">
        <v>100</v>
      </c>
      <c r="H50" s="22">
        <v>100</v>
      </c>
      <c r="I50" s="22">
        <v>0</v>
      </c>
      <c r="J50" s="20">
        <v>125</v>
      </c>
      <c r="K50" s="20">
        <v>100</v>
      </c>
      <c r="L50" s="22">
        <v>0</v>
      </c>
      <c r="M50" s="22">
        <v>250</v>
      </c>
      <c r="N50" s="22">
        <v>250</v>
      </c>
      <c r="O50" s="22">
        <v>0</v>
      </c>
      <c r="P50" s="22">
        <f>200+4500</f>
        <v>4700</v>
      </c>
      <c r="Q50" s="22">
        <v>10</v>
      </c>
      <c r="R50" s="25">
        <f>3320+7</f>
        <v>3327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4"/>
      <c r="B51" s="19" t="s">
        <v>64</v>
      </c>
      <c r="C51" s="20">
        <v>3000</v>
      </c>
      <c r="D51" s="20">
        <v>1000</v>
      </c>
      <c r="E51" s="20">
        <v>1000</v>
      </c>
      <c r="F51" s="20">
        <v>23.35</v>
      </c>
      <c r="G51" s="35">
        <v>200</v>
      </c>
      <c r="H51" s="22">
        <v>200</v>
      </c>
      <c r="I51" s="22">
        <v>39.91</v>
      </c>
      <c r="J51" s="20">
        <v>250</v>
      </c>
      <c r="K51" s="20">
        <v>150</v>
      </c>
      <c r="L51" s="22">
        <v>119.77</v>
      </c>
      <c r="M51" s="22">
        <v>275</v>
      </c>
      <c r="N51" s="22">
        <v>275</v>
      </c>
      <c r="O51" s="22">
        <v>212</v>
      </c>
      <c r="P51" s="22">
        <v>550</v>
      </c>
      <c r="Q51" s="22">
        <v>300</v>
      </c>
      <c r="R51" s="25">
        <v>368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2" customFormat="1" ht="15" customHeight="1">
      <c r="A52" s="38"/>
      <c r="B52" s="26" t="s">
        <v>65</v>
      </c>
      <c r="C52" s="27">
        <f>SUM(C48:C51)</f>
        <v>207670</v>
      </c>
      <c r="D52" s="27">
        <f>SUM(D48:D51)</f>
        <v>36000</v>
      </c>
      <c r="E52" s="27">
        <f>SUM(E48:E51)</f>
        <v>36000</v>
      </c>
      <c r="F52" s="27">
        <f>SUM(F48:F51)</f>
        <v>23472.71</v>
      </c>
      <c r="G52" s="28">
        <f>SUM(G48:G51)</f>
        <v>35300</v>
      </c>
      <c r="H52" s="28">
        <v>35300</v>
      </c>
      <c r="I52" s="28">
        <f aca="true" t="shared" si="1" ref="I52:R52">SUM(I48:I51)</f>
        <v>29813.96</v>
      </c>
      <c r="J52" s="27">
        <f t="shared" si="1"/>
        <v>43517.5</v>
      </c>
      <c r="K52" s="27">
        <f t="shared" si="1"/>
        <v>40000</v>
      </c>
      <c r="L52" s="28">
        <f t="shared" si="1"/>
        <v>28662.31</v>
      </c>
      <c r="M52" s="28">
        <f t="shared" si="1"/>
        <v>45000</v>
      </c>
      <c r="N52" s="28">
        <f t="shared" si="1"/>
        <v>41000</v>
      </c>
      <c r="O52" s="28">
        <f t="shared" si="1"/>
        <v>35455.35</v>
      </c>
      <c r="P52" s="28">
        <f t="shared" si="1"/>
        <v>47500</v>
      </c>
      <c r="Q52" s="29">
        <f t="shared" si="1"/>
        <v>38200</v>
      </c>
      <c r="R52" s="30">
        <f t="shared" si="1"/>
        <v>34307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ht="15" customHeight="1">
      <c r="A53" s="24"/>
      <c r="B53" s="19"/>
      <c r="C53" s="20"/>
      <c r="D53" s="20"/>
      <c r="E53" s="20"/>
      <c r="F53" s="33"/>
      <c r="G53" s="22"/>
      <c r="H53" s="22"/>
      <c r="I53" s="22"/>
      <c r="J53" s="20"/>
      <c r="K53" s="39"/>
      <c r="L53" s="22"/>
      <c r="M53" s="22"/>
      <c r="N53" s="22"/>
      <c r="O53" s="22"/>
      <c r="P53" s="22"/>
      <c r="Q53" s="22"/>
      <c r="R53" s="25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>
      <c r="A54" s="24" t="s">
        <v>66</v>
      </c>
      <c r="B54" s="14" t="s">
        <v>134</v>
      </c>
      <c r="C54" s="20"/>
      <c r="D54" s="20"/>
      <c r="E54" s="20"/>
      <c r="F54" s="20"/>
      <c r="G54" s="22"/>
      <c r="H54" s="22"/>
      <c r="I54" s="22"/>
      <c r="J54" s="20"/>
      <c r="K54" s="20"/>
      <c r="L54" s="22"/>
      <c r="M54" s="22"/>
      <c r="N54" s="22"/>
      <c r="O54" s="22"/>
      <c r="P54" s="22"/>
      <c r="Q54" s="22"/>
      <c r="R54" s="25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4"/>
      <c r="B55" s="19" t="s">
        <v>67</v>
      </c>
      <c r="C55" s="20">
        <v>81400</v>
      </c>
      <c r="D55" s="20">
        <v>15000</v>
      </c>
      <c r="E55" s="20">
        <v>15000</v>
      </c>
      <c r="F55" s="20">
        <v>14232</v>
      </c>
      <c r="G55" s="35">
        <v>20450</v>
      </c>
      <c r="H55" s="22">
        <v>20450</v>
      </c>
      <c r="I55" s="22">
        <v>4310.33</v>
      </c>
      <c r="J55" s="20">
        <v>38063</v>
      </c>
      <c r="K55" s="20">
        <v>38063</v>
      </c>
      <c r="L55" s="22">
        <v>30434.48</v>
      </c>
      <c r="M55" s="22">
        <v>40137.46</v>
      </c>
      <c r="N55" s="22">
        <v>39945.86</v>
      </c>
      <c r="O55" s="22">
        <v>41250.99</v>
      </c>
      <c r="P55" s="22">
        <v>105900</v>
      </c>
      <c r="Q55" s="22">
        <v>38500</v>
      </c>
      <c r="R55" s="25">
        <v>14164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4"/>
      <c r="B56" s="19" t="s">
        <v>68</v>
      </c>
      <c r="C56" s="20">
        <v>0</v>
      </c>
      <c r="D56" s="20">
        <v>0</v>
      </c>
      <c r="E56" s="20">
        <v>0</v>
      </c>
      <c r="F56" s="20">
        <v>0</v>
      </c>
      <c r="G56" s="35">
        <v>0</v>
      </c>
      <c r="H56" s="22">
        <v>0</v>
      </c>
      <c r="I56" s="22">
        <v>0</v>
      </c>
      <c r="J56" s="20"/>
      <c r="K56" s="20"/>
      <c r="L56" s="22">
        <v>0</v>
      </c>
      <c r="M56" s="22">
        <v>1362.54</v>
      </c>
      <c r="N56" s="22">
        <v>1362.54</v>
      </c>
      <c r="O56" s="22">
        <v>0</v>
      </c>
      <c r="P56" s="22">
        <v>0</v>
      </c>
      <c r="Q56" s="22">
        <v>0</v>
      </c>
      <c r="R56" s="25"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2" customFormat="1" ht="15" customHeight="1">
      <c r="A57" s="24"/>
      <c r="B57" s="26" t="s">
        <v>69</v>
      </c>
      <c r="C57" s="27">
        <f>SUM(C55:C56)</f>
        <v>81400</v>
      </c>
      <c r="D57" s="27">
        <f>SUM(D55:D56)</f>
        <v>15000</v>
      </c>
      <c r="E57" s="27">
        <f>SUM(E55:E56)</f>
        <v>15000</v>
      </c>
      <c r="F57" s="27">
        <f>SUM(F55:F56)</f>
        <v>14232</v>
      </c>
      <c r="G57" s="37">
        <v>20450</v>
      </c>
      <c r="H57" s="37">
        <v>20450</v>
      </c>
      <c r="I57" s="37">
        <f aca="true" t="shared" si="2" ref="I57:R57">SUM(I55:I56)</f>
        <v>4310.33</v>
      </c>
      <c r="J57" s="27">
        <f t="shared" si="2"/>
        <v>38063</v>
      </c>
      <c r="K57" s="27">
        <f t="shared" si="2"/>
        <v>38063</v>
      </c>
      <c r="L57" s="28">
        <f t="shared" si="2"/>
        <v>30434.48</v>
      </c>
      <c r="M57" s="28">
        <f t="shared" si="2"/>
        <v>41500</v>
      </c>
      <c r="N57" s="37">
        <f t="shared" si="2"/>
        <v>41308.4</v>
      </c>
      <c r="O57" s="28">
        <f t="shared" si="2"/>
        <v>41250.99</v>
      </c>
      <c r="P57" s="27">
        <f t="shared" si="2"/>
        <v>105900</v>
      </c>
      <c r="Q57" s="27">
        <f t="shared" si="2"/>
        <v>38500</v>
      </c>
      <c r="R57" s="30">
        <f t="shared" si="2"/>
        <v>14164</v>
      </c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5" customHeight="1">
      <c r="A58" s="24"/>
      <c r="B58" s="14"/>
      <c r="C58" s="20"/>
      <c r="D58" s="20"/>
      <c r="E58" s="20"/>
      <c r="F58" s="33"/>
      <c r="G58" s="22"/>
      <c r="H58" s="22"/>
      <c r="I58" s="22"/>
      <c r="J58" s="20"/>
      <c r="K58" s="40"/>
      <c r="L58" s="22"/>
      <c r="M58" s="22"/>
      <c r="N58" s="22"/>
      <c r="O58" s="22"/>
      <c r="P58" s="22"/>
      <c r="Q58" s="22"/>
      <c r="R58" s="2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4" t="s">
        <v>70</v>
      </c>
      <c r="B59" s="14" t="s">
        <v>135</v>
      </c>
      <c r="C59" s="20"/>
      <c r="D59" s="20"/>
      <c r="E59" s="20"/>
      <c r="F59" s="20"/>
      <c r="G59" s="22"/>
      <c r="H59" s="22"/>
      <c r="I59" s="22"/>
      <c r="J59" s="20"/>
      <c r="K59" s="20"/>
      <c r="L59" s="22"/>
      <c r="M59" s="22"/>
      <c r="N59" s="22"/>
      <c r="O59" s="22"/>
      <c r="P59" s="22"/>
      <c r="Q59" s="22"/>
      <c r="R59" s="25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4"/>
      <c r="B60" s="19" t="s">
        <v>71</v>
      </c>
      <c r="C60" s="20">
        <v>44687</v>
      </c>
      <c r="D60" s="20">
        <v>11000</v>
      </c>
      <c r="E60" s="20">
        <v>11000</v>
      </c>
      <c r="F60" s="20">
        <v>793</v>
      </c>
      <c r="G60" s="35">
        <v>11000</v>
      </c>
      <c r="H60" s="22">
        <v>11000</v>
      </c>
      <c r="I60" s="22">
        <v>4830.16</v>
      </c>
      <c r="J60" s="20">
        <v>10750</v>
      </c>
      <c r="K60" s="20">
        <v>6600</v>
      </c>
      <c r="L60" s="22">
        <v>6006.97</v>
      </c>
      <c r="M60" s="22">
        <v>3185</v>
      </c>
      <c r="N60" s="22">
        <v>3185</v>
      </c>
      <c r="O60" s="22">
        <v>9671.36</v>
      </c>
      <c r="P60" s="22">
        <v>13700</v>
      </c>
      <c r="Q60" s="22">
        <v>13150</v>
      </c>
      <c r="R60" s="25">
        <v>10705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4"/>
      <c r="B61" s="19" t="s">
        <v>72</v>
      </c>
      <c r="C61" s="20">
        <v>0</v>
      </c>
      <c r="D61" s="20">
        <v>0</v>
      </c>
      <c r="E61" s="20">
        <v>0</v>
      </c>
      <c r="F61" s="20">
        <v>0</v>
      </c>
      <c r="G61" s="35">
        <v>0</v>
      </c>
      <c r="H61" s="22">
        <v>0</v>
      </c>
      <c r="I61" s="22">
        <v>0</v>
      </c>
      <c r="J61" s="41"/>
      <c r="K61" s="41"/>
      <c r="L61" s="22">
        <v>0</v>
      </c>
      <c r="M61" s="22">
        <v>5815</v>
      </c>
      <c r="N61" s="22">
        <v>8859.86</v>
      </c>
      <c r="O61" s="22">
        <v>0</v>
      </c>
      <c r="P61" s="22">
        <v>0</v>
      </c>
      <c r="Q61" s="22">
        <v>0</v>
      </c>
      <c r="R61" s="25">
        <v>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4"/>
      <c r="B62" s="19" t="s">
        <v>73</v>
      </c>
      <c r="C62" s="20">
        <v>2700</v>
      </c>
      <c r="D62" s="20">
        <v>475</v>
      </c>
      <c r="E62" s="20">
        <v>475</v>
      </c>
      <c r="F62" s="20">
        <v>282</v>
      </c>
      <c r="G62" s="35">
        <v>1100</v>
      </c>
      <c r="H62" s="22">
        <v>1100</v>
      </c>
      <c r="I62" s="22">
        <v>282</v>
      </c>
      <c r="J62" s="20">
        <v>700</v>
      </c>
      <c r="K62" s="20">
        <f>330+349</f>
        <v>679</v>
      </c>
      <c r="L62" s="22">
        <v>30</v>
      </c>
      <c r="M62" s="22">
        <v>1000</v>
      </c>
      <c r="N62" s="22">
        <f>572+428</f>
        <v>1000</v>
      </c>
      <c r="O62" s="22">
        <v>684.42</v>
      </c>
      <c r="P62" s="22">
        <f>625+375</f>
        <v>1000</v>
      </c>
      <c r="Q62" s="22">
        <f>525+200</f>
        <v>725</v>
      </c>
      <c r="R62" s="25">
        <f>234+72</f>
        <v>306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2" customFormat="1" ht="15" customHeight="1">
      <c r="A63" s="24"/>
      <c r="B63" s="26" t="s">
        <v>74</v>
      </c>
      <c r="C63" s="27">
        <f>SUM(C60:C62)</f>
        <v>47387</v>
      </c>
      <c r="D63" s="27">
        <f>SUM(D60:D62)</f>
        <v>11475</v>
      </c>
      <c r="E63" s="27">
        <f>SUM(E60:E62)</f>
        <v>11475</v>
      </c>
      <c r="F63" s="27">
        <f>SUM(F60:F62)</f>
        <v>1075</v>
      </c>
      <c r="G63" s="28">
        <f>SUM(G60:G62)</f>
        <v>12100</v>
      </c>
      <c r="H63" s="28">
        <v>12100</v>
      </c>
      <c r="I63" s="28">
        <f aca="true" t="shared" si="3" ref="I63:R63">SUM(I60:I62)</f>
        <v>5112.16</v>
      </c>
      <c r="J63" s="27">
        <f t="shared" si="3"/>
        <v>11450</v>
      </c>
      <c r="K63" s="27">
        <f t="shared" si="3"/>
        <v>7279</v>
      </c>
      <c r="L63" s="28">
        <f t="shared" si="3"/>
        <v>6036.97</v>
      </c>
      <c r="M63" s="28">
        <f t="shared" si="3"/>
        <v>10000</v>
      </c>
      <c r="N63" s="28">
        <f t="shared" si="3"/>
        <v>13044.86</v>
      </c>
      <c r="O63" s="28">
        <f t="shared" si="3"/>
        <v>10355.78</v>
      </c>
      <c r="P63" s="28">
        <f t="shared" si="3"/>
        <v>14700</v>
      </c>
      <c r="Q63" s="28">
        <f t="shared" si="3"/>
        <v>13875</v>
      </c>
      <c r="R63" s="30">
        <f t="shared" si="3"/>
        <v>11011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 ht="15" customHeight="1">
      <c r="A64" s="24"/>
      <c r="B64" s="14"/>
      <c r="C64" s="20"/>
      <c r="D64" s="20"/>
      <c r="E64" s="20"/>
      <c r="F64" s="33"/>
      <c r="G64" s="22"/>
      <c r="H64" s="22"/>
      <c r="I64" s="22"/>
      <c r="J64" s="20"/>
      <c r="K64" s="34"/>
      <c r="L64" s="22"/>
      <c r="M64" s="22"/>
      <c r="N64" s="22"/>
      <c r="O64" s="22"/>
      <c r="P64" s="22"/>
      <c r="Q64" s="22"/>
      <c r="R64" s="2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>
      <c r="A65" s="24" t="s">
        <v>75</v>
      </c>
      <c r="B65" s="14" t="s">
        <v>136</v>
      </c>
      <c r="C65" s="20"/>
      <c r="D65" s="20"/>
      <c r="E65" s="20"/>
      <c r="F65" s="20"/>
      <c r="G65" s="22"/>
      <c r="H65" s="22"/>
      <c r="I65" s="22"/>
      <c r="J65" s="20"/>
      <c r="K65" s="20"/>
      <c r="L65" s="22"/>
      <c r="M65" s="22"/>
      <c r="N65" s="22"/>
      <c r="O65" s="22"/>
      <c r="P65" s="22"/>
      <c r="Q65" s="22"/>
      <c r="R65" s="25"/>
      <c r="S65" s="2" t="s">
        <v>76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4"/>
      <c r="B66" s="19" t="s">
        <v>77</v>
      </c>
      <c r="C66" s="20">
        <v>0</v>
      </c>
      <c r="D66" s="20">
        <v>0</v>
      </c>
      <c r="E66" s="20">
        <v>0</v>
      </c>
      <c r="F66" s="20">
        <v>0</v>
      </c>
      <c r="G66" s="22">
        <v>0</v>
      </c>
      <c r="H66" s="22">
        <v>0</v>
      </c>
      <c r="I66" s="22">
        <v>0</v>
      </c>
      <c r="J66" s="20"/>
      <c r="K66" s="20"/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5">
        <v>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4"/>
      <c r="B67" s="19" t="s">
        <v>78</v>
      </c>
      <c r="C67" s="20">
        <v>2700</v>
      </c>
      <c r="D67" s="20">
        <v>500</v>
      </c>
      <c r="E67" s="20">
        <v>500</v>
      </c>
      <c r="F67" s="20">
        <v>312</v>
      </c>
      <c r="G67" s="35">
        <v>3000</v>
      </c>
      <c r="H67" s="22">
        <v>3000</v>
      </c>
      <c r="I67" s="22">
        <v>5208.57</v>
      </c>
      <c r="J67" s="20">
        <v>750</v>
      </c>
      <c r="K67" s="20">
        <v>750</v>
      </c>
      <c r="L67" s="22">
        <v>0</v>
      </c>
      <c r="M67" s="22">
        <v>2500</v>
      </c>
      <c r="N67" s="22">
        <v>2500</v>
      </c>
      <c r="O67" s="22">
        <v>300</v>
      </c>
      <c r="P67" s="22">
        <v>6000</v>
      </c>
      <c r="Q67" s="22">
        <v>2600</v>
      </c>
      <c r="R67" s="25">
        <v>3538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4"/>
      <c r="B68" s="19" t="s">
        <v>79</v>
      </c>
      <c r="C68" s="20">
        <v>125000</v>
      </c>
      <c r="D68" s="20">
        <v>21500</v>
      </c>
      <c r="E68" s="20">
        <v>21500</v>
      </c>
      <c r="F68" s="20">
        <v>17100</v>
      </c>
      <c r="G68" s="35">
        <v>19500</v>
      </c>
      <c r="H68" s="22">
        <v>19500</v>
      </c>
      <c r="I68" s="22">
        <v>16278.47</v>
      </c>
      <c r="J68" s="20">
        <v>26017</v>
      </c>
      <c r="K68" s="20">
        <v>25300</v>
      </c>
      <c r="L68" s="22">
        <v>24645.26</v>
      </c>
      <c r="M68" s="22">
        <v>30000</v>
      </c>
      <c r="N68" s="22">
        <v>30000</v>
      </c>
      <c r="O68" s="22">
        <v>25701</v>
      </c>
      <c r="P68" s="22">
        <v>52400</v>
      </c>
      <c r="Q68" s="22">
        <v>13700</v>
      </c>
      <c r="R68" s="25">
        <v>14522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4"/>
      <c r="B69" s="19" t="s">
        <v>80</v>
      </c>
      <c r="C69" s="20">
        <v>0</v>
      </c>
      <c r="D69" s="20">
        <v>204</v>
      </c>
      <c r="E69" s="20">
        <v>204</v>
      </c>
      <c r="F69" s="20">
        <v>0</v>
      </c>
      <c r="G69" s="35">
        <v>305</v>
      </c>
      <c r="H69" s="22">
        <v>305</v>
      </c>
      <c r="I69" s="22">
        <v>0</v>
      </c>
      <c r="J69" s="20"/>
      <c r="K69" s="20"/>
      <c r="L69" s="22">
        <v>0</v>
      </c>
      <c r="M69" s="22">
        <v>0</v>
      </c>
      <c r="N69" s="22">
        <v>12500</v>
      </c>
      <c r="O69" s="22">
        <v>7406.91</v>
      </c>
      <c r="P69" s="22">
        <v>17000</v>
      </c>
      <c r="Q69" s="22">
        <v>16500</v>
      </c>
      <c r="R69" s="25">
        <v>12518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4"/>
      <c r="B70" s="19" t="s">
        <v>81</v>
      </c>
      <c r="C70" s="20">
        <v>0</v>
      </c>
      <c r="D70" s="20">
        <v>0</v>
      </c>
      <c r="E70" s="20">
        <v>0</v>
      </c>
      <c r="F70" s="20">
        <v>0</v>
      </c>
      <c r="G70" s="35">
        <v>0</v>
      </c>
      <c r="H70" s="22">
        <v>0</v>
      </c>
      <c r="I70" s="22">
        <v>0</v>
      </c>
      <c r="J70" s="20"/>
      <c r="K70" s="20"/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5"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4"/>
      <c r="B71" s="19" t="s">
        <v>82</v>
      </c>
      <c r="C71" s="20">
        <v>1064</v>
      </c>
      <c r="D71" s="20">
        <v>0</v>
      </c>
      <c r="E71" s="20">
        <v>0</v>
      </c>
      <c r="F71" s="20">
        <v>88</v>
      </c>
      <c r="G71" s="35">
        <v>0</v>
      </c>
      <c r="H71" s="22">
        <v>0</v>
      </c>
      <c r="I71" s="22">
        <v>0</v>
      </c>
      <c r="J71" s="20">
        <v>14575</v>
      </c>
      <c r="K71" s="20">
        <v>16575</v>
      </c>
      <c r="L71" s="22">
        <v>12376.86</v>
      </c>
      <c r="M71" s="22">
        <v>12500</v>
      </c>
      <c r="N71" s="22">
        <v>0</v>
      </c>
      <c r="O71" s="22">
        <v>0</v>
      </c>
      <c r="P71" s="22">
        <v>0</v>
      </c>
      <c r="Q71" s="22">
        <v>0</v>
      </c>
      <c r="R71" s="25"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2" customFormat="1" ht="15" customHeight="1">
      <c r="A72" s="24"/>
      <c r="B72" s="26" t="s">
        <v>83</v>
      </c>
      <c r="C72" s="27">
        <f>SUM(C66:C71)</f>
        <v>128764</v>
      </c>
      <c r="D72" s="27">
        <f>SUM(D66:D71)</f>
        <v>22204</v>
      </c>
      <c r="E72" s="27">
        <f>SUM(E66:E71)</f>
        <v>22204</v>
      </c>
      <c r="F72" s="27">
        <f>SUM(F66:F71)</f>
        <v>17500</v>
      </c>
      <c r="G72" s="28">
        <f>SUM(G66:G71)</f>
        <v>22805</v>
      </c>
      <c r="H72" s="28">
        <v>22805</v>
      </c>
      <c r="I72" s="28">
        <f>SUM(I66:I71)</f>
        <v>21487.04</v>
      </c>
      <c r="J72" s="27">
        <f>SUM(J66:J71)</f>
        <v>41342</v>
      </c>
      <c r="K72" s="27">
        <f>SUM(K66:K71)</f>
        <v>42625</v>
      </c>
      <c r="L72" s="28">
        <f>SUM(L67:L71)</f>
        <v>37022.119999999995</v>
      </c>
      <c r="M72" s="28">
        <f>SUM(M66:M71)</f>
        <v>45000</v>
      </c>
      <c r="N72" s="28">
        <f>SUM(N66:N71)</f>
        <v>45000</v>
      </c>
      <c r="O72" s="28">
        <f>SUM(O67:O71)</f>
        <v>33407.91</v>
      </c>
      <c r="P72" s="27">
        <f>SUM(P66:P71)</f>
        <v>75400</v>
      </c>
      <c r="Q72" s="27">
        <f>SUM(Q66:Q71)</f>
        <v>32800</v>
      </c>
      <c r="R72" s="42">
        <f>SUM(R66:R71)</f>
        <v>30578</v>
      </c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5" customHeight="1">
      <c r="A73" s="24"/>
      <c r="B73" s="14"/>
      <c r="C73" s="20"/>
      <c r="D73" s="20"/>
      <c r="E73" s="20"/>
      <c r="F73" s="33"/>
      <c r="G73" s="22"/>
      <c r="H73" s="22"/>
      <c r="I73" s="22"/>
      <c r="J73" s="20"/>
      <c r="K73" s="34"/>
      <c r="L73" s="43"/>
      <c r="M73" s="22"/>
      <c r="N73" s="22"/>
      <c r="O73" s="43"/>
      <c r="P73" s="22"/>
      <c r="Q73" s="22"/>
      <c r="R73" s="4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24" t="s">
        <v>84</v>
      </c>
      <c r="B74" s="14" t="s">
        <v>137</v>
      </c>
      <c r="C74" s="27">
        <v>0</v>
      </c>
      <c r="D74" s="27">
        <v>0</v>
      </c>
      <c r="E74" s="27">
        <v>0</v>
      </c>
      <c r="F74" s="27">
        <v>671.87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8">
        <v>3134</v>
      </c>
      <c r="M74" s="28">
        <v>5000</v>
      </c>
      <c r="N74" s="27">
        <v>5937</v>
      </c>
      <c r="O74" s="28">
        <v>0</v>
      </c>
      <c r="P74" s="27">
        <v>4900</v>
      </c>
      <c r="Q74" s="27">
        <v>0</v>
      </c>
      <c r="R74" s="30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4"/>
      <c r="B75" s="14"/>
      <c r="C75" s="20"/>
      <c r="D75" s="20"/>
      <c r="E75" s="20"/>
      <c r="F75" s="33"/>
      <c r="G75" s="22"/>
      <c r="H75" s="22"/>
      <c r="I75" s="22"/>
      <c r="J75" s="20"/>
      <c r="K75" s="20"/>
      <c r="L75" s="29"/>
      <c r="M75" s="22"/>
      <c r="N75" s="22"/>
      <c r="O75" s="29"/>
      <c r="P75" s="22"/>
      <c r="Q75" s="22"/>
      <c r="R75" s="2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45" t="s">
        <v>85</v>
      </c>
      <c r="B76" s="14" t="s">
        <v>138</v>
      </c>
      <c r="C76" s="20"/>
      <c r="D76" s="20"/>
      <c r="E76" s="20"/>
      <c r="F76" s="20"/>
      <c r="G76" s="22"/>
      <c r="H76" s="22"/>
      <c r="I76" s="22"/>
      <c r="J76" s="20"/>
      <c r="K76" s="20"/>
      <c r="L76" s="22"/>
      <c r="M76" s="22"/>
      <c r="N76" s="22"/>
      <c r="O76" s="22"/>
      <c r="P76" s="22"/>
      <c r="Q76" s="22"/>
      <c r="R76" s="25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4"/>
      <c r="B77" s="19" t="s">
        <v>86</v>
      </c>
      <c r="C77" s="20">
        <v>33000</v>
      </c>
      <c r="D77" s="20">
        <v>6000</v>
      </c>
      <c r="E77" s="20">
        <v>6000</v>
      </c>
      <c r="F77" s="20">
        <v>2429</v>
      </c>
      <c r="G77" s="35">
        <v>4700</v>
      </c>
      <c r="H77" s="22">
        <v>4700</v>
      </c>
      <c r="I77" s="22">
        <v>1499.57</v>
      </c>
      <c r="J77" s="20">
        <f>4875+3771</f>
        <v>8646</v>
      </c>
      <c r="K77" s="20">
        <v>4200</v>
      </c>
      <c r="L77" s="22">
        <f>2422</f>
        <v>2422</v>
      </c>
      <c r="M77" s="22">
        <v>3000</v>
      </c>
      <c r="N77" s="22">
        <v>3000</v>
      </c>
      <c r="O77" s="22">
        <f>5094.94+5320.5</f>
        <v>10415.439999999999</v>
      </c>
      <c r="P77" s="22">
        <v>150</v>
      </c>
      <c r="Q77" s="22">
        <f>150+2600</f>
        <v>2750</v>
      </c>
      <c r="R77" s="25">
        <f>32+208</f>
        <v>240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4"/>
      <c r="B78" s="19" t="s">
        <v>87</v>
      </c>
      <c r="C78" s="20">
        <v>0</v>
      </c>
      <c r="D78" s="20">
        <v>0</v>
      </c>
      <c r="E78" s="20">
        <v>0</v>
      </c>
      <c r="F78" s="20">
        <v>0</v>
      </c>
      <c r="G78" s="35">
        <v>0</v>
      </c>
      <c r="H78" s="22">
        <v>0</v>
      </c>
      <c r="I78" s="22">
        <v>0</v>
      </c>
      <c r="J78" s="20"/>
      <c r="K78" s="20">
        <v>4712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5">
        <v>0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2" customFormat="1" ht="15" customHeight="1">
      <c r="A79" s="24"/>
      <c r="B79" s="26" t="s">
        <v>88</v>
      </c>
      <c r="C79" s="27">
        <f>SUM(C77:C78)</f>
        <v>33000</v>
      </c>
      <c r="D79" s="27">
        <f>SUM(D77:D78)</f>
        <v>6000</v>
      </c>
      <c r="E79" s="27">
        <f>SUM(E77:E78)</f>
        <v>6000</v>
      </c>
      <c r="F79" s="27">
        <f>SUM(F77:F78)</f>
        <v>2429</v>
      </c>
      <c r="G79" s="28">
        <v>4700</v>
      </c>
      <c r="H79" s="28">
        <v>4700</v>
      </c>
      <c r="I79" s="28">
        <f>SUM(I77:I78)</f>
        <v>1499.57</v>
      </c>
      <c r="J79" s="27">
        <f>SUM(J77:J78)</f>
        <v>8646</v>
      </c>
      <c r="K79" s="27">
        <f>SUM(K77:K78)</f>
        <v>8912</v>
      </c>
      <c r="L79" s="28">
        <f>SUM(L77:L78)</f>
        <v>2422</v>
      </c>
      <c r="M79" s="28">
        <v>3000</v>
      </c>
      <c r="N79" s="28">
        <v>3000</v>
      </c>
      <c r="O79" s="28">
        <f>SUM(O77:O78)</f>
        <v>10415.439999999999</v>
      </c>
      <c r="P79" s="28">
        <f>SUM(P77:P78)</f>
        <v>150</v>
      </c>
      <c r="Q79" s="28">
        <f>SUM(Q77:Q78)</f>
        <v>2750</v>
      </c>
      <c r="R79" s="30">
        <f>SUM(R77:R78)</f>
        <v>240</v>
      </c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ht="15" customHeight="1">
      <c r="A80" s="24"/>
      <c r="B80" s="14"/>
      <c r="C80" s="20"/>
      <c r="D80" s="20"/>
      <c r="E80" s="20"/>
      <c r="F80" s="33"/>
      <c r="G80" s="22"/>
      <c r="H80" s="22"/>
      <c r="I80" s="22"/>
      <c r="J80" s="20"/>
      <c r="K80" s="34"/>
      <c r="L80" s="22"/>
      <c r="M80" s="22"/>
      <c r="N80" s="22"/>
      <c r="O80" s="22"/>
      <c r="P80" s="22"/>
      <c r="Q80" s="22"/>
      <c r="R80" s="2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>
      <c r="A81" s="24" t="s">
        <v>89</v>
      </c>
      <c r="B81" s="14" t="s">
        <v>139</v>
      </c>
      <c r="C81" s="20"/>
      <c r="D81" s="20"/>
      <c r="E81" s="20"/>
      <c r="F81" s="20"/>
      <c r="G81" s="22"/>
      <c r="H81" s="22"/>
      <c r="I81" s="22"/>
      <c r="J81" s="20"/>
      <c r="K81" s="20"/>
      <c r="L81" s="22"/>
      <c r="M81" s="22"/>
      <c r="N81" s="22"/>
      <c r="O81" s="22"/>
      <c r="P81" s="22"/>
      <c r="Q81" s="22"/>
      <c r="R81" s="2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4"/>
      <c r="B82" s="19" t="s">
        <v>90</v>
      </c>
      <c r="C82" s="20">
        <v>4200</v>
      </c>
      <c r="D82" s="20">
        <v>800</v>
      </c>
      <c r="E82" s="20">
        <v>800</v>
      </c>
      <c r="F82" s="20">
        <v>19</v>
      </c>
      <c r="G82" s="35">
        <v>1800</v>
      </c>
      <c r="H82" s="22">
        <v>1800</v>
      </c>
      <c r="I82" s="22">
        <v>930.56</v>
      </c>
      <c r="J82" s="20"/>
      <c r="K82" s="20">
        <v>1055</v>
      </c>
      <c r="L82" s="22">
        <v>1032</v>
      </c>
      <c r="M82" s="22">
        <v>1600</v>
      </c>
      <c r="N82" s="22">
        <v>1600</v>
      </c>
      <c r="O82" s="22">
        <v>1376.93</v>
      </c>
      <c r="P82" s="22">
        <v>4500</v>
      </c>
      <c r="Q82" s="22">
        <v>1300</v>
      </c>
      <c r="R82" s="25">
        <v>27336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4"/>
      <c r="B83" s="19" t="s">
        <v>91</v>
      </c>
      <c r="C83" s="20">
        <v>9900</v>
      </c>
      <c r="D83" s="20">
        <v>1800</v>
      </c>
      <c r="E83" s="20">
        <v>1800</v>
      </c>
      <c r="F83" s="20">
        <v>1625</v>
      </c>
      <c r="G83" s="35">
        <v>1800</v>
      </c>
      <c r="H83" s="22">
        <v>1800</v>
      </c>
      <c r="I83" s="22">
        <v>1685</v>
      </c>
      <c r="J83" s="20">
        <v>2050</v>
      </c>
      <c r="K83" s="20">
        <v>2042.53</v>
      </c>
      <c r="L83" s="22">
        <v>1984.22</v>
      </c>
      <c r="M83" s="22">
        <v>2300</v>
      </c>
      <c r="N83" s="22">
        <v>2300</v>
      </c>
      <c r="O83" s="22">
        <v>2223.58</v>
      </c>
      <c r="P83" s="22">
        <v>2500</v>
      </c>
      <c r="Q83" s="22">
        <v>2350</v>
      </c>
      <c r="R83" s="25">
        <v>1904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4"/>
      <c r="B84" s="19" t="s">
        <v>92</v>
      </c>
      <c r="C84" s="20">
        <v>0</v>
      </c>
      <c r="D84" s="20">
        <v>0</v>
      </c>
      <c r="E84" s="20">
        <v>0</v>
      </c>
      <c r="F84" s="20">
        <v>0</v>
      </c>
      <c r="G84" s="35">
        <v>0</v>
      </c>
      <c r="H84" s="22">
        <v>0</v>
      </c>
      <c r="I84" s="22"/>
      <c r="J84" s="20">
        <v>1550</v>
      </c>
      <c r="K84" s="20"/>
      <c r="L84" s="22">
        <v>0</v>
      </c>
      <c r="M84" s="22">
        <v>5232</v>
      </c>
      <c r="N84" s="22">
        <v>0</v>
      </c>
      <c r="O84" s="22">
        <v>0</v>
      </c>
      <c r="P84" s="22">
        <v>0</v>
      </c>
      <c r="Q84" s="22">
        <v>0</v>
      </c>
      <c r="R84" s="25">
        <v>0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4"/>
      <c r="B85" s="19" t="s">
        <v>93</v>
      </c>
      <c r="C85" s="20">
        <v>4730</v>
      </c>
      <c r="D85" s="20">
        <v>950</v>
      </c>
      <c r="E85" s="20">
        <v>950</v>
      </c>
      <c r="F85" s="20">
        <v>665</v>
      </c>
      <c r="G85" s="35">
        <v>1482</v>
      </c>
      <c r="H85" s="22">
        <v>1482.3</v>
      </c>
      <c r="I85" s="22">
        <v>1299.09</v>
      </c>
      <c r="J85" s="20">
        <v>7053</v>
      </c>
      <c r="K85" s="20">
        <v>6700</v>
      </c>
      <c r="L85" s="22">
        <v>2620.57</v>
      </c>
      <c r="M85" s="22">
        <v>0</v>
      </c>
      <c r="N85" s="22">
        <v>6082</v>
      </c>
      <c r="O85" s="22">
        <v>4563.75</v>
      </c>
      <c r="P85" s="22">
        <v>5432</v>
      </c>
      <c r="Q85" s="22">
        <v>4303</v>
      </c>
      <c r="R85" s="25">
        <v>5066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4"/>
      <c r="B86" s="19" t="s">
        <v>140</v>
      </c>
      <c r="C86" s="20"/>
      <c r="D86" s="20"/>
      <c r="E86" s="20"/>
      <c r="F86" s="20"/>
      <c r="G86" s="35"/>
      <c r="H86" s="22"/>
      <c r="I86" s="22"/>
      <c r="J86" s="20"/>
      <c r="K86" s="20"/>
      <c r="L86" s="22"/>
      <c r="M86" s="22"/>
      <c r="N86" s="22"/>
      <c r="O86" s="22"/>
      <c r="P86" s="22"/>
      <c r="Q86" s="22"/>
      <c r="R86" s="2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4"/>
      <c r="B87" s="19" t="s">
        <v>94</v>
      </c>
      <c r="C87" s="20">
        <v>0</v>
      </c>
      <c r="D87" s="20">
        <v>0</v>
      </c>
      <c r="E87" s="20">
        <v>0</v>
      </c>
      <c r="F87" s="20">
        <v>0</v>
      </c>
      <c r="G87" s="35">
        <v>0</v>
      </c>
      <c r="H87" s="22">
        <v>0</v>
      </c>
      <c r="I87" s="22">
        <v>0</v>
      </c>
      <c r="J87" s="20"/>
      <c r="K87" s="20"/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5">
        <v>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4"/>
      <c r="B88" s="46" t="s">
        <v>95</v>
      </c>
      <c r="C88" s="20">
        <v>122</v>
      </c>
      <c r="D88" s="20">
        <v>22</v>
      </c>
      <c r="E88" s="20">
        <v>22</v>
      </c>
      <c r="F88" s="20">
        <v>0</v>
      </c>
      <c r="G88" s="35">
        <v>0</v>
      </c>
      <c r="H88" s="22">
        <v>0</v>
      </c>
      <c r="I88" s="22">
        <v>0</v>
      </c>
      <c r="J88" s="20"/>
      <c r="K88" s="20"/>
      <c r="L88" s="22">
        <v>0</v>
      </c>
      <c r="M88" s="22">
        <v>10</v>
      </c>
      <c r="N88" s="22">
        <v>10</v>
      </c>
      <c r="O88" s="22">
        <v>0</v>
      </c>
      <c r="P88" s="22">
        <v>0</v>
      </c>
      <c r="Q88" s="22">
        <v>0</v>
      </c>
      <c r="R88" s="25">
        <v>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4"/>
      <c r="B89" s="19" t="s">
        <v>96</v>
      </c>
      <c r="C89" s="20">
        <v>0</v>
      </c>
      <c r="D89" s="20">
        <v>0</v>
      </c>
      <c r="E89" s="20">
        <v>0</v>
      </c>
      <c r="F89" s="20">
        <v>0</v>
      </c>
      <c r="G89" s="35">
        <v>0</v>
      </c>
      <c r="H89" s="22">
        <v>0</v>
      </c>
      <c r="I89" s="22">
        <v>0</v>
      </c>
      <c r="J89" s="20"/>
      <c r="K89" s="20"/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5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2" customFormat="1" ht="15" customHeight="1">
      <c r="A90" s="24"/>
      <c r="B90" s="14" t="s">
        <v>97</v>
      </c>
      <c r="C90" s="27">
        <f>SUM(C82:C89)</f>
        <v>18952</v>
      </c>
      <c r="D90" s="27">
        <f>SUM(D82:D89)</f>
        <v>3572</v>
      </c>
      <c r="E90" s="27">
        <f>SUM(E82:E89)</f>
        <v>3572</v>
      </c>
      <c r="F90" s="27">
        <f>SUM(F82:F89)</f>
        <v>2309</v>
      </c>
      <c r="G90" s="28">
        <f>SUM(G82:G89)</f>
        <v>5082</v>
      </c>
      <c r="H90" s="28">
        <v>5082.3</v>
      </c>
      <c r="I90" s="28">
        <f aca="true" t="shared" si="4" ref="I90:R90">SUM(I82:I89)</f>
        <v>3914.6499999999996</v>
      </c>
      <c r="J90" s="27">
        <f t="shared" si="4"/>
        <v>10653</v>
      </c>
      <c r="K90" s="27">
        <f t="shared" si="4"/>
        <v>9797.529999999999</v>
      </c>
      <c r="L90" s="28">
        <f t="shared" si="4"/>
        <v>5636.790000000001</v>
      </c>
      <c r="M90" s="28">
        <f t="shared" si="4"/>
        <v>9142</v>
      </c>
      <c r="N90" s="28">
        <f t="shared" si="4"/>
        <v>9992</v>
      </c>
      <c r="O90" s="28">
        <f t="shared" si="4"/>
        <v>8164.26</v>
      </c>
      <c r="P90" s="27">
        <f t="shared" si="4"/>
        <v>12432</v>
      </c>
      <c r="Q90" s="27">
        <f t="shared" si="4"/>
        <v>7953</v>
      </c>
      <c r="R90" s="30">
        <f t="shared" si="4"/>
        <v>34306</v>
      </c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ht="15" customHeight="1">
      <c r="A91" s="24"/>
      <c r="B91" s="26"/>
      <c r="C91" s="20"/>
      <c r="D91" s="20"/>
      <c r="E91" s="20"/>
      <c r="F91" s="33"/>
      <c r="G91" s="22"/>
      <c r="H91" s="22"/>
      <c r="I91" s="22"/>
      <c r="J91" s="20"/>
      <c r="K91" s="34"/>
      <c r="L91" s="22"/>
      <c r="M91" s="22"/>
      <c r="N91" s="22"/>
      <c r="O91" s="22"/>
      <c r="P91" s="22"/>
      <c r="Q91" s="22"/>
      <c r="R91" s="25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>
      <c r="A92" s="24" t="s">
        <v>98</v>
      </c>
      <c r="B92" s="14" t="s">
        <v>141</v>
      </c>
      <c r="C92" s="20"/>
      <c r="D92" s="20"/>
      <c r="E92" s="20"/>
      <c r="F92" s="20"/>
      <c r="G92" s="22"/>
      <c r="H92" s="22"/>
      <c r="I92" s="22"/>
      <c r="J92" s="20"/>
      <c r="K92" s="20"/>
      <c r="L92" s="22"/>
      <c r="M92" s="22"/>
      <c r="N92" s="22"/>
      <c r="O92" s="22"/>
      <c r="P92" s="22"/>
      <c r="Q92" s="22"/>
      <c r="R92" s="25"/>
      <c r="S92" s="2" t="s">
        <v>76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4"/>
      <c r="B93" s="19" t="s">
        <v>99</v>
      </c>
      <c r="C93" s="20">
        <v>81228</v>
      </c>
      <c r="D93" s="20">
        <v>12903</v>
      </c>
      <c r="E93" s="20">
        <v>12903</v>
      </c>
      <c r="F93" s="20">
        <v>12654</v>
      </c>
      <c r="G93" s="35">
        <v>15000</v>
      </c>
      <c r="H93" s="22">
        <v>15000</v>
      </c>
      <c r="I93" s="22">
        <v>10829.73</v>
      </c>
      <c r="J93" s="20">
        <v>30865.5</v>
      </c>
      <c r="K93" s="20">
        <v>34764.94</v>
      </c>
      <c r="L93" s="22">
        <f>21398.15+3670.41+795</f>
        <v>25863.56</v>
      </c>
      <c r="M93" s="22">
        <f>27500+5000+2500</f>
        <v>35000</v>
      </c>
      <c r="N93" s="22">
        <f>27500+5000+2500</f>
        <v>35000</v>
      </c>
      <c r="O93" s="22">
        <f>21221.23+4044.88+2490</f>
        <v>27756.11</v>
      </c>
      <c r="P93" s="22">
        <f>30251.35+5498.65+2750</f>
        <v>38500</v>
      </c>
      <c r="Q93" s="22">
        <f>25251.35+3998.65+2250</f>
        <v>31500</v>
      </c>
      <c r="R93" s="25">
        <f>28659+1979+1507</f>
        <v>32145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4"/>
      <c r="B94" s="19" t="s">
        <v>100</v>
      </c>
      <c r="C94" s="20">
        <v>0</v>
      </c>
      <c r="D94" s="20">
        <v>0</v>
      </c>
      <c r="E94" s="20">
        <v>0</v>
      </c>
      <c r="F94" s="20">
        <v>0</v>
      </c>
      <c r="G94" s="35">
        <v>0</v>
      </c>
      <c r="H94" s="22">
        <v>0</v>
      </c>
      <c r="I94" s="22">
        <v>0</v>
      </c>
      <c r="J94" s="20">
        <v>6050</v>
      </c>
      <c r="K94" s="20"/>
      <c r="L94" s="22">
        <v>0</v>
      </c>
      <c r="M94" s="22">
        <v>4000</v>
      </c>
      <c r="N94" s="22">
        <v>4000</v>
      </c>
      <c r="O94" s="22">
        <v>0</v>
      </c>
      <c r="P94" s="22">
        <v>6850</v>
      </c>
      <c r="Q94" s="22">
        <v>6200</v>
      </c>
      <c r="R94" s="25">
        <v>5889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4"/>
      <c r="B95" s="19" t="s">
        <v>101</v>
      </c>
      <c r="C95" s="20">
        <v>3375</v>
      </c>
      <c r="D95" s="20">
        <v>0</v>
      </c>
      <c r="E95" s="20">
        <v>0</v>
      </c>
      <c r="F95" s="20">
        <v>291.19</v>
      </c>
      <c r="G95" s="35">
        <v>2500</v>
      </c>
      <c r="H95" s="22">
        <v>0</v>
      </c>
      <c r="I95" s="22">
        <v>562.46</v>
      </c>
      <c r="J95" s="20"/>
      <c r="K95" s="20">
        <v>4015</v>
      </c>
      <c r="L95" s="22">
        <v>2635.16</v>
      </c>
      <c r="M95" s="22">
        <v>12157</v>
      </c>
      <c r="N95" s="22">
        <v>11457</v>
      </c>
      <c r="O95" s="22">
        <v>11225.38</v>
      </c>
      <c r="P95" s="22">
        <v>14438</v>
      </c>
      <c r="Q95" s="22">
        <v>13438</v>
      </c>
      <c r="R95" s="25">
        <f>16677+10</f>
        <v>16687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4"/>
      <c r="B96" s="19" t="s">
        <v>102</v>
      </c>
      <c r="C96" s="20">
        <v>0</v>
      </c>
      <c r="D96" s="20">
        <v>675</v>
      </c>
      <c r="E96" s="20">
        <v>675</v>
      </c>
      <c r="F96" s="20">
        <v>53.7</v>
      </c>
      <c r="G96" s="35">
        <v>0</v>
      </c>
      <c r="H96" s="22">
        <v>2500</v>
      </c>
      <c r="I96" s="22">
        <v>347.25</v>
      </c>
      <c r="J96" s="20"/>
      <c r="K96" s="20"/>
      <c r="L96" s="22">
        <v>159.06</v>
      </c>
      <c r="M96" s="22">
        <v>443</v>
      </c>
      <c r="N96" s="22">
        <v>443</v>
      </c>
      <c r="O96" s="22">
        <v>357.7</v>
      </c>
      <c r="P96" s="22">
        <v>662</v>
      </c>
      <c r="Q96" s="22">
        <v>362</v>
      </c>
      <c r="R96" s="25">
        <v>373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2" customFormat="1" ht="15" customHeight="1">
      <c r="A97" s="24"/>
      <c r="B97" s="26" t="s">
        <v>103</v>
      </c>
      <c r="C97" s="27">
        <f>SUM(C93:C96)</f>
        <v>84603</v>
      </c>
      <c r="D97" s="27">
        <f>SUM(D93:D96)</f>
        <v>13578</v>
      </c>
      <c r="E97" s="27">
        <f>SUM(E93:E96)</f>
        <v>13578</v>
      </c>
      <c r="F97" s="27">
        <f>SUM(F93+F94+F95+F96)</f>
        <v>12998.890000000001</v>
      </c>
      <c r="G97" s="28">
        <v>17500</v>
      </c>
      <c r="H97" s="28">
        <v>17500</v>
      </c>
      <c r="I97" s="28">
        <f>SUM(I93:I96)</f>
        <v>11739.439999999999</v>
      </c>
      <c r="J97" s="27">
        <f>J93+J94+J95+J96</f>
        <v>36915.5</v>
      </c>
      <c r="K97" s="27">
        <f>K93+K94+K95+K96</f>
        <v>38779.94</v>
      </c>
      <c r="L97" s="28">
        <f aca="true" t="shared" si="5" ref="L97:R97">SUM(L93:L96)</f>
        <v>28657.780000000002</v>
      </c>
      <c r="M97" s="28">
        <f t="shared" si="5"/>
        <v>51600</v>
      </c>
      <c r="N97" s="28">
        <f t="shared" si="5"/>
        <v>50900</v>
      </c>
      <c r="O97" s="28">
        <f t="shared" si="5"/>
        <v>39339.189999999995</v>
      </c>
      <c r="P97" s="28">
        <f t="shared" si="5"/>
        <v>60450</v>
      </c>
      <c r="Q97" s="28">
        <f t="shared" si="5"/>
        <v>51500</v>
      </c>
      <c r="R97" s="30">
        <f t="shared" si="5"/>
        <v>55094</v>
      </c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ht="15" customHeight="1">
      <c r="A98" s="24"/>
      <c r="B98" s="19" t="s">
        <v>104</v>
      </c>
      <c r="C98" s="20">
        <v>65000</v>
      </c>
      <c r="D98" s="20">
        <v>11575</v>
      </c>
      <c r="E98" s="20">
        <v>11575</v>
      </c>
      <c r="F98" s="20">
        <v>2966.15</v>
      </c>
      <c r="G98" s="35">
        <v>9700</v>
      </c>
      <c r="H98" s="22">
        <f>7500+2200</f>
        <v>9700</v>
      </c>
      <c r="I98" s="22">
        <v>6339.98</v>
      </c>
      <c r="J98" s="20">
        <v>14040</v>
      </c>
      <c r="K98" s="20">
        <v>14040</v>
      </c>
      <c r="L98" s="22">
        <f>1350+1726.02+3445.51+25+265+1041.31+62.02+5456.73</f>
        <v>13371.59</v>
      </c>
      <c r="M98" s="22">
        <f>11000+4000</f>
        <v>15000</v>
      </c>
      <c r="N98" s="22">
        <f>4000+11000</f>
        <v>15000</v>
      </c>
      <c r="O98" s="22">
        <f>10601.96+3418.11</f>
        <v>14020.07</v>
      </c>
      <c r="P98" s="22">
        <f>4400+22400</f>
        <v>26800</v>
      </c>
      <c r="Q98" s="22">
        <f>3300+12925</f>
        <v>16225</v>
      </c>
      <c r="R98" s="25">
        <f>3977+2304+2076+993+425+534+633+1760+455</f>
        <v>13157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4"/>
      <c r="B99" s="19" t="s">
        <v>105</v>
      </c>
      <c r="C99" s="20">
        <v>55200</v>
      </c>
      <c r="D99" s="20">
        <v>10020</v>
      </c>
      <c r="E99" s="20">
        <v>10020</v>
      </c>
      <c r="F99" s="20">
        <v>6416</v>
      </c>
      <c r="G99" s="35">
        <v>14250</v>
      </c>
      <c r="H99" s="22">
        <v>14250</v>
      </c>
      <c r="I99" s="22">
        <v>5019.64</v>
      </c>
      <c r="J99" s="20">
        <v>12355</v>
      </c>
      <c r="K99" s="20">
        <v>10855</v>
      </c>
      <c r="L99" s="22">
        <v>10170.98</v>
      </c>
      <c r="M99" s="22">
        <v>14000</v>
      </c>
      <c r="N99" s="22">
        <v>15694.15</v>
      </c>
      <c r="O99" s="22">
        <f>6317.86+1240.82+5639.63</f>
        <v>13198.31</v>
      </c>
      <c r="P99" s="22">
        <v>20000</v>
      </c>
      <c r="Q99" s="22">
        <v>16250</v>
      </c>
      <c r="R99" s="25">
        <f>8400+800+7040</f>
        <v>16240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4"/>
      <c r="B100" s="19" t="s">
        <v>106</v>
      </c>
      <c r="C100" s="20">
        <v>29100</v>
      </c>
      <c r="D100" s="20">
        <v>4600</v>
      </c>
      <c r="E100" s="20">
        <v>4600</v>
      </c>
      <c r="F100" s="20">
        <v>0</v>
      </c>
      <c r="G100" s="35">
        <v>100</v>
      </c>
      <c r="H100" s="22">
        <v>100</v>
      </c>
      <c r="I100" s="22">
        <v>0</v>
      </c>
      <c r="J100" s="20">
        <v>125</v>
      </c>
      <c r="K100" s="20">
        <v>125</v>
      </c>
      <c r="L100" s="22">
        <v>125</v>
      </c>
      <c r="M100" s="22">
        <v>300</v>
      </c>
      <c r="N100" s="22">
        <v>300</v>
      </c>
      <c r="O100" s="22">
        <v>300</v>
      </c>
      <c r="P100" s="22">
        <v>300</v>
      </c>
      <c r="Q100" s="22">
        <v>300</v>
      </c>
      <c r="R100" s="25">
        <v>300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4"/>
      <c r="B101" s="19" t="s">
        <v>107</v>
      </c>
      <c r="C101" s="20"/>
      <c r="D101" s="20"/>
      <c r="E101" s="20"/>
      <c r="F101" s="20">
        <v>3902.98</v>
      </c>
      <c r="G101" s="22">
        <v>0</v>
      </c>
      <c r="H101" s="22">
        <v>0</v>
      </c>
      <c r="I101" s="22">
        <v>2412.4</v>
      </c>
      <c r="J101" s="20">
        <v>3451.54</v>
      </c>
      <c r="K101" s="20">
        <v>5108.48</v>
      </c>
      <c r="L101" s="22">
        <v>4007.79</v>
      </c>
      <c r="M101" s="22">
        <v>5666.69</v>
      </c>
      <c r="N101" s="22">
        <v>5666.69</v>
      </c>
      <c r="O101" s="22">
        <v>0</v>
      </c>
      <c r="P101" s="22">
        <v>2355.44</v>
      </c>
      <c r="Q101" s="22">
        <v>2355.44</v>
      </c>
      <c r="R101" s="25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4"/>
      <c r="B102" s="19" t="s">
        <v>108</v>
      </c>
      <c r="C102" s="20">
        <v>116327</v>
      </c>
      <c r="D102" s="20">
        <v>19000</v>
      </c>
      <c r="E102" s="20">
        <v>19000</v>
      </c>
      <c r="F102" s="20">
        <v>9968</v>
      </c>
      <c r="G102" s="35">
        <v>9000</v>
      </c>
      <c r="H102" s="22">
        <v>9000</v>
      </c>
      <c r="I102" s="22">
        <v>4190</v>
      </c>
      <c r="J102" s="20"/>
      <c r="K102" s="20"/>
      <c r="L102" s="22">
        <v>8487.99</v>
      </c>
      <c r="M102" s="22">
        <v>10150</v>
      </c>
      <c r="N102" s="22">
        <v>12250</v>
      </c>
      <c r="O102" s="22">
        <v>11800</v>
      </c>
      <c r="P102" s="22">
        <v>25500</v>
      </c>
      <c r="Q102" s="22">
        <v>15200</v>
      </c>
      <c r="R102" s="25">
        <v>13668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4"/>
      <c r="B103" s="47" t="s">
        <v>109</v>
      </c>
      <c r="C103" s="20"/>
      <c r="D103" s="20"/>
      <c r="E103" s="20"/>
      <c r="F103" s="20"/>
      <c r="G103" s="22"/>
      <c r="H103" s="22"/>
      <c r="I103" s="22"/>
      <c r="J103" s="20">
        <v>11250</v>
      </c>
      <c r="K103" s="20">
        <v>11250</v>
      </c>
      <c r="L103" s="22"/>
      <c r="M103" s="22"/>
      <c r="N103" s="22"/>
      <c r="O103" s="22"/>
      <c r="P103" s="22"/>
      <c r="Q103" s="22"/>
      <c r="R103" s="25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4"/>
      <c r="B104" s="19" t="s">
        <v>110</v>
      </c>
      <c r="C104" s="20">
        <v>575</v>
      </c>
      <c r="D104" s="20">
        <v>100</v>
      </c>
      <c r="E104" s="20">
        <v>100</v>
      </c>
      <c r="F104" s="20">
        <v>168</v>
      </c>
      <c r="G104" s="35">
        <v>200</v>
      </c>
      <c r="H104" s="22">
        <v>200</v>
      </c>
      <c r="I104" s="22">
        <v>192.34</v>
      </c>
      <c r="J104" s="20">
        <v>220</v>
      </c>
      <c r="K104" s="20">
        <v>120</v>
      </c>
      <c r="L104" s="22">
        <v>70</v>
      </c>
      <c r="M104" s="22">
        <v>250</v>
      </c>
      <c r="N104" s="22">
        <v>250</v>
      </c>
      <c r="O104" s="22">
        <v>238.38</v>
      </c>
      <c r="P104" s="22">
        <v>300</v>
      </c>
      <c r="Q104" s="22">
        <v>300</v>
      </c>
      <c r="R104" s="25">
        <v>280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4"/>
      <c r="B105" s="19" t="s">
        <v>111</v>
      </c>
      <c r="C105" s="20">
        <v>111309</v>
      </c>
      <c r="D105" s="20">
        <v>20318</v>
      </c>
      <c r="E105" s="20">
        <v>20318</v>
      </c>
      <c r="F105" s="20">
        <v>15054</v>
      </c>
      <c r="G105" s="35">
        <v>16677</v>
      </c>
      <c r="H105" s="22">
        <v>16677</v>
      </c>
      <c r="I105" s="22">
        <v>7151.26</v>
      </c>
      <c r="J105" s="20">
        <v>28821</v>
      </c>
      <c r="K105" s="20">
        <v>34450</v>
      </c>
      <c r="L105" s="22">
        <v>18100.35</v>
      </c>
      <c r="M105" s="22">
        <v>22338</v>
      </c>
      <c r="N105" s="22">
        <v>12376.13</v>
      </c>
      <c r="O105" s="22">
        <v>12256.66</v>
      </c>
      <c r="P105" s="22">
        <v>14788</v>
      </c>
      <c r="Q105" s="22">
        <v>13813</v>
      </c>
      <c r="R105" s="25">
        <v>12700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4"/>
      <c r="B106" s="19" t="s">
        <v>112</v>
      </c>
      <c r="C106" s="20">
        <v>1800</v>
      </c>
      <c r="D106" s="20">
        <v>350</v>
      </c>
      <c r="E106" s="20">
        <v>350</v>
      </c>
      <c r="F106" s="20">
        <v>56</v>
      </c>
      <c r="G106" s="35">
        <v>2900</v>
      </c>
      <c r="H106" s="22">
        <v>2900</v>
      </c>
      <c r="I106" s="22">
        <v>1257.99</v>
      </c>
      <c r="J106" s="20">
        <v>2925</v>
      </c>
      <c r="K106" s="20">
        <v>2500</v>
      </c>
      <c r="L106" s="22">
        <v>2472.17</v>
      </c>
      <c r="M106" s="22">
        <v>1573</v>
      </c>
      <c r="N106" s="22">
        <v>1573</v>
      </c>
      <c r="O106" s="22">
        <v>1003.55</v>
      </c>
      <c r="P106" s="22">
        <v>7469</v>
      </c>
      <c r="Q106" s="22">
        <v>1175.17</v>
      </c>
      <c r="R106" s="25">
        <v>10139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4"/>
      <c r="B107" s="19" t="s">
        <v>113</v>
      </c>
      <c r="C107" s="20">
        <v>20800</v>
      </c>
      <c r="D107" s="20">
        <v>3795</v>
      </c>
      <c r="E107" s="20">
        <v>3795</v>
      </c>
      <c r="F107" s="20">
        <f>2934+802.59</f>
        <v>3736.59</v>
      </c>
      <c r="G107" s="35">
        <v>2300</v>
      </c>
      <c r="H107" s="22">
        <v>2300</v>
      </c>
      <c r="I107" s="22">
        <v>742.86</v>
      </c>
      <c r="J107" s="20">
        <v>0</v>
      </c>
      <c r="K107" s="20">
        <v>9500</v>
      </c>
      <c r="L107" s="22">
        <v>4848.15</v>
      </c>
      <c r="M107" s="22">
        <f>10000+1500+4613+2185.3+5283</f>
        <v>23581.3</v>
      </c>
      <c r="N107" s="22">
        <f>8700+1500+4167+446+2185.3+5283</f>
        <v>22281.3</v>
      </c>
      <c r="O107" s="22">
        <f>12788.52+4164.11+1337.82+78.22+856.18</f>
        <v>19224.850000000002</v>
      </c>
      <c r="P107" s="22">
        <f>25411+4931+693</f>
        <v>31035</v>
      </c>
      <c r="Q107" s="22">
        <v>24736</v>
      </c>
      <c r="R107" s="25">
        <f>1976+1106+56</f>
        <v>3138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4"/>
      <c r="B108" s="19" t="s">
        <v>114</v>
      </c>
      <c r="C108" s="20">
        <v>0</v>
      </c>
      <c r="D108" s="20">
        <v>0</v>
      </c>
      <c r="E108" s="20">
        <v>0</v>
      </c>
      <c r="F108" s="20">
        <v>751</v>
      </c>
      <c r="G108" s="35">
        <v>7483</v>
      </c>
      <c r="H108" s="22">
        <v>4244.44</v>
      </c>
      <c r="I108" s="22">
        <v>0</v>
      </c>
      <c r="J108" s="20"/>
      <c r="K108" s="20"/>
      <c r="L108" s="22">
        <v>0</v>
      </c>
      <c r="M108" s="22">
        <v>3814.7</v>
      </c>
      <c r="N108" s="22">
        <v>3814.7</v>
      </c>
      <c r="O108" s="22">
        <v>0</v>
      </c>
      <c r="P108" s="22">
        <v>464</v>
      </c>
      <c r="Q108" s="22">
        <v>464</v>
      </c>
      <c r="R108" s="25">
        <v>14929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4"/>
      <c r="B109" s="19" t="s">
        <v>115</v>
      </c>
      <c r="C109" s="20">
        <v>0</v>
      </c>
      <c r="D109" s="20">
        <v>0</v>
      </c>
      <c r="E109" s="20">
        <v>0</v>
      </c>
      <c r="F109" s="20">
        <v>0</v>
      </c>
      <c r="G109" s="35">
        <v>4244</v>
      </c>
      <c r="H109" s="22">
        <v>7483</v>
      </c>
      <c r="I109" s="22">
        <v>0</v>
      </c>
      <c r="J109" s="20">
        <v>10000</v>
      </c>
      <c r="K109" s="20"/>
      <c r="L109" s="22">
        <v>0</v>
      </c>
      <c r="M109" s="22">
        <v>0</v>
      </c>
      <c r="N109" s="22">
        <v>0</v>
      </c>
      <c r="O109" s="22">
        <v>0</v>
      </c>
      <c r="P109" s="22"/>
      <c r="Q109" s="22">
        <f>11224.83+1522</f>
        <v>12746.83</v>
      </c>
      <c r="R109" s="25">
        <v>24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2" customFormat="1" ht="15" customHeight="1">
      <c r="A110" s="24"/>
      <c r="B110" s="26" t="s">
        <v>116</v>
      </c>
      <c r="C110" s="27">
        <f aca="true" t="shared" si="6" ref="C110:I110">SUM(C97:C109)</f>
        <v>484714</v>
      </c>
      <c r="D110" s="27">
        <f t="shared" si="6"/>
        <v>83336</v>
      </c>
      <c r="E110" s="27">
        <f t="shared" si="6"/>
        <v>83336</v>
      </c>
      <c r="F110" s="27">
        <f t="shared" si="6"/>
        <v>56017.61</v>
      </c>
      <c r="G110" s="28">
        <f t="shared" si="6"/>
        <v>84354</v>
      </c>
      <c r="H110" s="28">
        <f t="shared" si="6"/>
        <v>84354.44</v>
      </c>
      <c r="I110" s="28">
        <f t="shared" si="6"/>
        <v>39045.909999999996</v>
      </c>
      <c r="J110" s="27">
        <f>J97+J98+J99+J100+J101+J103+J104+J105+J106+SUM(J107:J109)</f>
        <v>120103.04</v>
      </c>
      <c r="K110" s="27">
        <f aca="true" t="shared" si="7" ref="K110:R110">SUM(K97:K109)</f>
        <v>126728.42</v>
      </c>
      <c r="L110" s="28">
        <f t="shared" si="7"/>
        <v>90311.8</v>
      </c>
      <c r="M110" s="28">
        <f t="shared" si="7"/>
        <v>148273.69</v>
      </c>
      <c r="N110" s="28">
        <f t="shared" si="7"/>
        <v>140105.97</v>
      </c>
      <c r="O110" s="28">
        <f t="shared" si="7"/>
        <v>111381.01000000001</v>
      </c>
      <c r="P110" s="27">
        <f t="shared" si="7"/>
        <v>189461.44</v>
      </c>
      <c r="Q110" s="27">
        <f t="shared" si="7"/>
        <v>155065.43999999997</v>
      </c>
      <c r="R110" s="30">
        <f t="shared" si="7"/>
        <v>139669</v>
      </c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ht="15" customHeight="1">
      <c r="A111" s="24"/>
      <c r="B111" s="14"/>
      <c r="C111" s="20"/>
      <c r="D111" s="20"/>
      <c r="E111" s="20"/>
      <c r="F111" s="33"/>
      <c r="G111" s="22"/>
      <c r="H111" s="22"/>
      <c r="I111" s="22"/>
      <c r="J111" s="20"/>
      <c r="K111" s="34"/>
      <c r="L111" s="22"/>
      <c r="M111" s="22"/>
      <c r="N111" s="22"/>
      <c r="O111" s="22"/>
      <c r="P111" s="22"/>
      <c r="Q111" s="22"/>
      <c r="R111" s="25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4" t="s">
        <v>117</v>
      </c>
      <c r="B112" s="14" t="s">
        <v>142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2"/>
      <c r="M112" s="22"/>
      <c r="N112" s="22"/>
      <c r="O112" s="22"/>
      <c r="P112" s="22"/>
      <c r="Q112" s="22"/>
      <c r="R112" s="2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4"/>
      <c r="B113" s="19" t="s">
        <v>118</v>
      </c>
      <c r="C113" s="20">
        <v>9350</v>
      </c>
      <c r="D113" s="20">
        <v>1700</v>
      </c>
      <c r="E113" s="20">
        <v>1700</v>
      </c>
      <c r="F113" s="20">
        <v>0</v>
      </c>
      <c r="G113" s="35">
        <v>2000</v>
      </c>
      <c r="H113" s="22">
        <v>2000</v>
      </c>
      <c r="I113" s="22">
        <v>0</v>
      </c>
      <c r="J113" s="20"/>
      <c r="K113" s="20"/>
      <c r="L113" s="22">
        <v>0</v>
      </c>
      <c r="M113" s="22">
        <v>3000</v>
      </c>
      <c r="N113" s="22">
        <v>3000</v>
      </c>
      <c r="O113" s="22">
        <v>2950.94</v>
      </c>
      <c r="P113" s="22">
        <v>3389.4</v>
      </c>
      <c r="Q113" s="22">
        <v>3289.4</v>
      </c>
      <c r="R113" s="25">
        <v>3125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4"/>
      <c r="B114" s="19" t="s">
        <v>119</v>
      </c>
      <c r="C114" s="20">
        <v>0</v>
      </c>
      <c r="D114" s="20">
        <v>0</v>
      </c>
      <c r="E114" s="20">
        <v>0</v>
      </c>
      <c r="F114" s="20">
        <v>0</v>
      </c>
      <c r="G114" s="35">
        <v>0</v>
      </c>
      <c r="H114" s="22">
        <v>0</v>
      </c>
      <c r="I114" s="22">
        <v>0</v>
      </c>
      <c r="J114" s="20"/>
      <c r="K114" s="20"/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5">
        <v>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4"/>
      <c r="B115" s="19" t="s">
        <v>120</v>
      </c>
      <c r="C115" s="20">
        <v>24893</v>
      </c>
      <c r="D115" s="20">
        <v>4055</v>
      </c>
      <c r="E115" s="20">
        <v>4055</v>
      </c>
      <c r="F115" s="20">
        <v>4196</v>
      </c>
      <c r="G115" s="35">
        <v>4600</v>
      </c>
      <c r="H115" s="22">
        <v>4600</v>
      </c>
      <c r="I115" s="22">
        <v>4302</v>
      </c>
      <c r="J115" s="20">
        <v>6595</v>
      </c>
      <c r="K115" s="20">
        <v>4600</v>
      </c>
      <c r="L115" s="22">
        <v>2796.5</v>
      </c>
      <c r="M115" s="22">
        <v>6500</v>
      </c>
      <c r="N115" s="22">
        <v>5500</v>
      </c>
      <c r="O115" s="22">
        <v>4889.17</v>
      </c>
      <c r="P115" s="22">
        <v>7000</v>
      </c>
      <c r="Q115" s="22">
        <v>7000</v>
      </c>
      <c r="R115" s="25">
        <v>6179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4"/>
      <c r="B116" s="19" t="s">
        <v>143</v>
      </c>
      <c r="C116" s="20"/>
      <c r="D116" s="20"/>
      <c r="E116" s="20"/>
      <c r="F116" s="20"/>
      <c r="G116" s="35"/>
      <c r="H116" s="22"/>
      <c r="I116" s="22"/>
      <c r="J116" s="20"/>
      <c r="K116" s="20"/>
      <c r="L116" s="22"/>
      <c r="M116" s="22"/>
      <c r="N116" s="22"/>
      <c r="O116" s="22"/>
      <c r="P116" s="22"/>
      <c r="Q116" s="22"/>
      <c r="R116" s="2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4"/>
      <c r="B117" s="19" t="s">
        <v>121</v>
      </c>
      <c r="C117" s="20">
        <v>0</v>
      </c>
      <c r="D117" s="20">
        <v>0</v>
      </c>
      <c r="E117" s="20">
        <v>0</v>
      </c>
      <c r="F117" s="20">
        <v>0</v>
      </c>
      <c r="G117" s="35">
        <v>8822</v>
      </c>
      <c r="H117" s="22">
        <v>8822.26</v>
      </c>
      <c r="I117" s="22">
        <v>0</v>
      </c>
      <c r="J117" s="20"/>
      <c r="K117" s="20"/>
      <c r="L117" s="22">
        <v>0</v>
      </c>
      <c r="M117" s="22">
        <v>0</v>
      </c>
      <c r="N117" s="22">
        <v>0</v>
      </c>
      <c r="O117" s="22">
        <v>0</v>
      </c>
      <c r="P117" s="22"/>
      <c r="Q117" s="22">
        <v>0</v>
      </c>
      <c r="R117" s="2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4"/>
      <c r="B118" s="19" t="s">
        <v>122</v>
      </c>
      <c r="C118" s="20">
        <v>17426</v>
      </c>
      <c r="D118" s="20">
        <v>3680</v>
      </c>
      <c r="E118" s="20">
        <v>3680</v>
      </c>
      <c r="F118" s="20">
        <v>2764</v>
      </c>
      <c r="G118" s="35">
        <v>5509</v>
      </c>
      <c r="H118" s="22">
        <v>5509</v>
      </c>
      <c r="I118" s="22">
        <v>3161.41</v>
      </c>
      <c r="J118" s="20">
        <f>10487+203+117+604+100+392</f>
        <v>11903</v>
      </c>
      <c r="K118" s="20">
        <f>9554+203+19+534+50+416.54</f>
        <v>10776.54</v>
      </c>
      <c r="L118" s="22">
        <f>5270.87+689.17+548.65+202.82+7.78+498.64+62.87+416.54</f>
        <v>7697.339999999999</v>
      </c>
      <c r="M118" s="22">
        <v>8954</v>
      </c>
      <c r="N118" s="22">
        <f>2500+1200+200+150+600</f>
        <v>4650</v>
      </c>
      <c r="O118" s="22">
        <f>2500+548.26+195.84+34.16+414.95</f>
        <v>3693.21</v>
      </c>
      <c r="P118" s="22">
        <f>3250+1412.45+1248.15+200+200+600</f>
        <v>6910.6</v>
      </c>
      <c r="Q118" s="22">
        <f>3250+1412.45+1248.15+200+70+600</f>
        <v>6780.6</v>
      </c>
      <c r="R118" s="25">
        <f>2131+628+636+199+66+448</f>
        <v>4108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2" customFormat="1" ht="15" customHeight="1">
      <c r="A119" s="24"/>
      <c r="B119" s="26" t="s">
        <v>123</v>
      </c>
      <c r="C119" s="27">
        <f aca="true" t="shared" si="8" ref="C119:R119">SUM(C113:C118)</f>
        <v>51669</v>
      </c>
      <c r="D119" s="27">
        <f t="shared" si="8"/>
        <v>9435</v>
      </c>
      <c r="E119" s="27">
        <f t="shared" si="8"/>
        <v>9435</v>
      </c>
      <c r="F119" s="27">
        <f t="shared" si="8"/>
        <v>6960</v>
      </c>
      <c r="G119" s="28">
        <f t="shared" si="8"/>
        <v>20931</v>
      </c>
      <c r="H119" s="28">
        <f t="shared" si="8"/>
        <v>20931.260000000002</v>
      </c>
      <c r="I119" s="28">
        <f t="shared" si="8"/>
        <v>7463.41</v>
      </c>
      <c r="J119" s="27">
        <f t="shared" si="8"/>
        <v>18498</v>
      </c>
      <c r="K119" s="27">
        <f t="shared" si="8"/>
        <v>15376.54</v>
      </c>
      <c r="L119" s="28">
        <f t="shared" si="8"/>
        <v>10493.84</v>
      </c>
      <c r="M119" s="28">
        <f t="shared" si="8"/>
        <v>18454</v>
      </c>
      <c r="N119" s="28">
        <f t="shared" si="8"/>
        <v>13150</v>
      </c>
      <c r="O119" s="28">
        <f t="shared" si="8"/>
        <v>11533.32</v>
      </c>
      <c r="P119" s="28">
        <f t="shared" si="8"/>
        <v>17300</v>
      </c>
      <c r="Q119" s="28">
        <f t="shared" si="8"/>
        <v>17070</v>
      </c>
      <c r="R119" s="30">
        <f t="shared" si="8"/>
        <v>13412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ht="15" customHeight="1">
      <c r="A120" s="24"/>
      <c r="B120" s="26"/>
      <c r="C120" s="20"/>
      <c r="D120" s="20"/>
      <c r="E120" s="20"/>
      <c r="F120" s="27"/>
      <c r="G120" s="28"/>
      <c r="H120" s="28"/>
      <c r="I120" s="28"/>
      <c r="J120" s="20"/>
      <c r="K120" s="34"/>
      <c r="L120" s="28"/>
      <c r="M120" s="28"/>
      <c r="N120" s="29"/>
      <c r="O120" s="29"/>
      <c r="P120" s="28"/>
      <c r="Q120" s="28"/>
      <c r="R120" s="3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2" customFormat="1" ht="15" customHeight="1" thickBot="1">
      <c r="A121" s="48"/>
      <c r="B121" s="49" t="s">
        <v>124</v>
      </c>
      <c r="C121" s="50">
        <f>SUM(C25+C43+C45+C52+C57+C63+C72+C74+C79+C90+C110+C119)</f>
        <v>1463274</v>
      </c>
      <c r="D121" s="50">
        <f>SUM(D25+D43+D45+D52+D57+D63+D72+D74+D79+D90+D110+D119)</f>
        <v>265194</v>
      </c>
      <c r="E121" s="50">
        <f>SUM(E25+E43+E45+E52+E57+E63+E72+E74+E79+E90+E110+E119)</f>
        <v>265194</v>
      </c>
      <c r="F121" s="51">
        <f>+F25+F43+F45+F52+F57+F63+F72+F74+F79+F90+F110+F119</f>
        <v>279665.24</v>
      </c>
      <c r="G121" s="50">
        <f>SUM(G25+G43+G45+G52+G57+G63+G72+G74+G79+G90+G110+G119)</f>
        <v>293584</v>
      </c>
      <c r="H121" s="50">
        <f>SUM(H25+H43+H45+H52+H57+H63+H72+H74+H79+H90+H110+H119)</f>
        <v>293585.31</v>
      </c>
      <c r="I121" s="51">
        <f>+I25+I43+I45+I52+I57+I63+I72+I74+I79+I90+I110+I119</f>
        <v>177164.34000000003</v>
      </c>
      <c r="J121" s="50">
        <f>SUM(J25+J43+J45+J52+J57+J63+J72+J74+J79+J90+J110+J119)</f>
        <v>411019</v>
      </c>
      <c r="K121" s="50">
        <f>SUM(K25+K43+K45+K52+K57+K63+K72+K74+K79+K90+K110+K119)</f>
        <v>413988</v>
      </c>
      <c r="L121" s="51">
        <f>SUM(L25+L43+L45+L52+L57+L63+L72+L74+L79+L90+L110+L119)</f>
        <v>299125.9</v>
      </c>
      <c r="M121" s="50">
        <f>SUM(M25+M43+M45+M52+M57+M63+M72+M74+M79+M90+M110+M119)</f>
        <v>451012</v>
      </c>
      <c r="N121" s="51">
        <f>+N25+N43+N45+N52+N57+N63+N72+N74+N79+N90+N110+N119</f>
        <v>451949</v>
      </c>
      <c r="O121" s="51">
        <f>+O25+O43+O45+O52+O57+O63+O72+O74+O79+O90+O110+O119</f>
        <v>407913.22000000003</v>
      </c>
      <c r="P121" s="51">
        <f>P25+P43+P45+P52+P57+P63+P72+P74+P79+P90+P110+P119</f>
        <v>650000</v>
      </c>
      <c r="Q121" s="51">
        <f>Q25+Q43+Q45+Q52+Q57+Q63+Q72+Q74+Q79+Q90+Q110+Q119</f>
        <v>479500</v>
      </c>
      <c r="R121" s="52">
        <f>SUM(R25,R43,R45,R52,R57,R63,R72,R74,R79,R90,R110,R119)</f>
        <v>388302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ht="15.75">
      <c r="A122" s="24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12" ht="15">
      <c r="A123" s="55"/>
      <c r="B123" s="56" t="s">
        <v>144</v>
      </c>
      <c r="C123" s="57" t="s">
        <v>125</v>
      </c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1:12" ht="15">
      <c r="A124" s="55"/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ht="15">
      <c r="A125" s="55"/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ht="15">
      <c r="A126" s="55"/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1:12" ht="15">
      <c r="A127" s="55"/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ht="15">
      <c r="A128" s="55"/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5">
      <c r="A129" s="55"/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1:12" ht="15">
      <c r="A130" s="55"/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ht="15">
      <c r="A131" s="55"/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ht="15">
      <c r="A132" s="55"/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ht="15">
      <c r="A133" s="55"/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5">
      <c r="A134" s="55"/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ht="15">
      <c r="A135" s="55"/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15">
      <c r="A136" s="55"/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ht="15">
      <c r="A137" s="55"/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ht="15">
      <c r="A138" s="55"/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ht="15">
      <c r="A139" s="55"/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15">
      <c r="A140" s="55"/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ht="15">
      <c r="A141" s="55"/>
      <c r="B141" s="59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ht="15">
      <c r="A142" s="55"/>
      <c r="B142" s="59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ht="15">
      <c r="A143" s="55"/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1:12" ht="15">
      <c r="A144" s="55"/>
      <c r="B144" s="59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ht="15">
      <c r="A145" s="55"/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1:12" ht="15">
      <c r="A146" s="55"/>
      <c r="B146" s="59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ht="15">
      <c r="A147" s="55"/>
      <c r="B147" s="59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15">
      <c r="A148" s="55"/>
      <c r="B148" s="59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15">
      <c r="A149" s="55"/>
      <c r="B149" s="59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15">
      <c r="A150" s="55"/>
      <c r="B150" s="59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ht="15">
      <c r="A151" s="55"/>
      <c r="B151" s="59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15">
      <c r="A152" s="55"/>
      <c r="B152" s="59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ht="15">
      <c r="A153" s="55"/>
      <c r="B153" s="59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15">
      <c r="A154" s="55"/>
      <c r="B154" s="59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ht="15">
      <c r="A155" s="55"/>
      <c r="B155" s="59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5">
      <c r="A156" s="55"/>
      <c r="B156" s="59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15">
      <c r="A157" s="55"/>
      <c r="B157" s="59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5">
      <c r="A158" s="55"/>
      <c r="B158" s="59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1:12" ht="15">
      <c r="A159" s="55"/>
      <c r="B159" s="59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15">
      <c r="A160" s="55"/>
      <c r="B160" s="59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ht="15">
      <c r="A161" s="55"/>
      <c r="B161" s="59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ht="15">
      <c r="A162" s="55"/>
      <c r="B162" s="59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5">
      <c r="A163" s="55"/>
      <c r="B163" s="59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15">
      <c r="A164" s="55"/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ht="15">
      <c r="A165" s="55"/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ht="15">
      <c r="A166" s="55"/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1:12" ht="15">
      <c r="A167" s="55"/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ht="15">
      <c r="A168" s="55"/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1:12" ht="15">
      <c r="A169" s="55"/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1:12" ht="15">
      <c r="A170" s="55"/>
      <c r="B170" s="59"/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1:12" ht="15">
      <c r="A171" s="55"/>
      <c r="B171" s="59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ht="15">
      <c r="A172" s="55"/>
      <c r="B172" s="59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 ht="15">
      <c r="A173" s="55"/>
      <c r="B173" s="59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1:12" ht="15">
      <c r="A174" s="55"/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1:12" ht="15">
      <c r="A175" s="55"/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spans="1:12" ht="15">
      <c r="A176" s="55"/>
      <c r="B176" s="59"/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spans="1:12" ht="15">
      <c r="A177" s="55"/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spans="1:12" ht="15">
      <c r="A178" s="55"/>
      <c r="B178" s="59"/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spans="1:12" ht="15">
      <c r="A179" s="55"/>
      <c r="B179" s="59"/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1:12" ht="15">
      <c r="A180" s="55"/>
      <c r="B180" s="59"/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1:12" ht="15">
      <c r="A181" s="55"/>
      <c r="B181" s="59"/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1:12" ht="15">
      <c r="A182" s="55"/>
      <c r="B182" s="59"/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1:12" ht="15">
      <c r="A183" s="55"/>
      <c r="B183" s="59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ht="15">
      <c r="A184" s="55"/>
      <c r="B184" s="59"/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1:12" ht="15">
      <c r="A185" s="55"/>
      <c r="B185" s="59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ht="15">
      <c r="A186" s="55"/>
      <c r="B186" s="59"/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1:12" ht="15">
      <c r="A187" s="55"/>
      <c r="B187" s="59"/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1:12" ht="15">
      <c r="A188" s="55"/>
      <c r="B188" s="59"/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1:12" ht="15">
      <c r="A189" s="55"/>
      <c r="B189" s="59"/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1:12" ht="15">
      <c r="A190" s="55"/>
      <c r="B190" s="59"/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1:12" ht="15">
      <c r="A191" s="55"/>
      <c r="B191" s="59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ht="15">
      <c r="A192" s="55"/>
      <c r="B192" s="59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5">
      <c r="A193" s="55"/>
      <c r="B193" s="59"/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ht="15">
      <c r="A194" s="55"/>
      <c r="B194" s="59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ht="15">
      <c r="A195" s="55"/>
      <c r="B195" s="59"/>
      <c r="C195" s="58"/>
      <c r="D195" s="58"/>
      <c r="E195" s="58"/>
      <c r="F195" s="58"/>
      <c r="G195" s="58"/>
      <c r="H195" s="58"/>
      <c r="I195" s="58"/>
      <c r="J195" s="58"/>
      <c r="K195" s="58"/>
      <c r="L195" s="58"/>
    </row>
    <row r="196" spans="1:12" ht="15">
      <c r="A196" s="55"/>
      <c r="B196" s="59"/>
      <c r="C196" s="58"/>
      <c r="D196" s="58"/>
      <c r="E196" s="58"/>
      <c r="F196" s="58"/>
      <c r="G196" s="58"/>
      <c r="H196" s="58"/>
      <c r="I196" s="58"/>
      <c r="J196" s="58"/>
      <c r="K196" s="58"/>
      <c r="L196" s="58"/>
    </row>
    <row r="197" spans="1:12" ht="15">
      <c r="A197" s="55"/>
      <c r="B197" s="59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spans="1:12" ht="15">
      <c r="A198" s="55"/>
      <c r="B198" s="59"/>
      <c r="C198" s="58"/>
      <c r="D198" s="58"/>
      <c r="E198" s="58"/>
      <c r="F198" s="58"/>
      <c r="G198" s="58"/>
      <c r="H198" s="58"/>
      <c r="I198" s="58"/>
      <c r="J198" s="58"/>
      <c r="K198" s="58"/>
      <c r="L198" s="58"/>
    </row>
    <row r="199" spans="1:12" ht="15">
      <c r="A199" s="55"/>
      <c r="B199" s="59"/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15">
      <c r="A200" s="55"/>
      <c r="B200" s="59"/>
      <c r="C200" s="58"/>
      <c r="D200" s="58"/>
      <c r="E200" s="58"/>
      <c r="F200" s="58"/>
      <c r="G200" s="58"/>
      <c r="H200" s="58"/>
      <c r="I200" s="58"/>
      <c r="J200" s="58"/>
      <c r="K200" s="58"/>
      <c r="L200" s="58"/>
    </row>
    <row r="201" spans="1:12" ht="15">
      <c r="A201" s="55"/>
      <c r="B201" s="59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ht="15">
      <c r="A202" s="55"/>
      <c r="B202" s="59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ht="15">
      <c r="A203" s="55"/>
      <c r="B203" s="59"/>
      <c r="C203" s="58"/>
      <c r="D203" s="58"/>
      <c r="E203" s="58"/>
      <c r="F203" s="58"/>
      <c r="G203" s="58"/>
      <c r="H203" s="58"/>
      <c r="I203" s="58"/>
      <c r="J203" s="58"/>
      <c r="K203" s="58"/>
      <c r="L203" s="58"/>
    </row>
    <row r="204" spans="1:12" ht="15">
      <c r="A204" s="55"/>
      <c r="B204" s="59"/>
      <c r="C204" s="58"/>
      <c r="D204" s="58"/>
      <c r="E204" s="58"/>
      <c r="F204" s="58"/>
      <c r="G204" s="58"/>
      <c r="H204" s="58"/>
      <c r="I204" s="58"/>
      <c r="J204" s="58"/>
      <c r="K204" s="58"/>
      <c r="L204" s="58"/>
    </row>
    <row r="205" spans="1:12" ht="15">
      <c r="A205" s="55"/>
      <c r="B205" s="59"/>
      <c r="C205" s="58"/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ht="15">
      <c r="A206" s="55"/>
      <c r="B206" s="59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2" ht="15">
      <c r="A207" s="55"/>
      <c r="B207" s="59"/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15">
      <c r="A208" s="55"/>
      <c r="B208" s="59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  <row r="209" spans="1:12" ht="15">
      <c r="A209" s="55"/>
      <c r="B209" s="59"/>
      <c r="C209" s="58"/>
      <c r="D209" s="58"/>
      <c r="E209" s="58"/>
      <c r="F209" s="58"/>
      <c r="G209" s="58"/>
      <c r="H209" s="58"/>
      <c r="I209" s="58"/>
      <c r="J209" s="58"/>
      <c r="K209" s="58"/>
      <c r="L209" s="58"/>
    </row>
    <row r="210" spans="1:12" ht="15">
      <c r="A210" s="55"/>
      <c r="B210" s="59"/>
      <c r="C210" s="58"/>
      <c r="D210" s="58"/>
      <c r="E210" s="58"/>
      <c r="F210" s="58"/>
      <c r="G210" s="58"/>
      <c r="H210" s="58"/>
      <c r="I210" s="58"/>
      <c r="J210" s="58"/>
      <c r="K210" s="58"/>
      <c r="L210" s="58"/>
    </row>
    <row r="211" spans="1:12" ht="15">
      <c r="A211" s="55"/>
      <c r="B211" s="59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spans="1:12" ht="15">
      <c r="A212" s="55"/>
      <c r="B212" s="59"/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ht="15">
      <c r="A213" s="55"/>
      <c r="B213" s="59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spans="1:12" ht="15">
      <c r="A214" s="55"/>
      <c r="B214" s="59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15">
      <c r="A215" s="55"/>
      <c r="B215" s="59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ht="15">
      <c r="A216" s="55"/>
      <c r="B216" s="59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spans="1:12" ht="15">
      <c r="A217" s="55"/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spans="1:12" ht="15">
      <c r="A218" s="55"/>
      <c r="B218" s="59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ht="15">
      <c r="A219" s="55"/>
      <c r="B219" s="59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spans="1:12" ht="15">
      <c r="A220" s="55"/>
      <c r="B220" s="59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spans="1:12" ht="15">
      <c r="A221" s="55"/>
      <c r="B221" s="59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spans="1:12" ht="15">
      <c r="A222" s="55"/>
      <c r="B222" s="59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spans="1:12" ht="15">
      <c r="A223" s="55"/>
      <c r="B223" s="59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1:12" ht="15">
      <c r="A224" s="55"/>
      <c r="B224" s="59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spans="1:12" ht="15">
      <c r="A225" s="55"/>
      <c r="B225" s="59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15">
      <c r="A226" s="55"/>
      <c r="B226" s="59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ht="15">
      <c r="A227" s="55"/>
      <c r="B227" s="59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15">
      <c r="A228" s="55"/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ht="15">
      <c r="A229" s="55"/>
      <c r="B229" s="59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15">
      <c r="A230" s="55"/>
      <c r="B230" s="59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1:12" ht="15">
      <c r="A231" s="55"/>
      <c r="B231" s="59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15">
      <c r="A232" s="55"/>
      <c r="B232" s="59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15">
      <c r="A233" s="55"/>
      <c r="B233" s="59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ht="15">
      <c r="A234" s="55"/>
      <c r="B234" s="59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1:12" ht="15">
      <c r="A235" s="55"/>
      <c r="B235" s="59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1:12" ht="15">
      <c r="A236" s="55"/>
      <c r="B236" s="59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1:12" ht="15">
      <c r="A237" s="55"/>
      <c r="B237" s="59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15">
      <c r="A238" s="55"/>
      <c r="B238" s="59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1:12" ht="15">
      <c r="A239" s="55"/>
      <c r="B239" s="59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15">
      <c r="A240" s="55"/>
      <c r="B240" s="59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1:12" ht="15">
      <c r="A241" s="55"/>
      <c r="B241" s="59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pans="1:12" ht="15">
      <c r="A242" s="55"/>
      <c r="B242" s="59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spans="1:12" ht="15">
      <c r="A243" s="55"/>
      <c r="B243" s="59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spans="1:12" ht="15">
      <c r="A244" s="55"/>
      <c r="B244" s="59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1:12" ht="15">
      <c r="A245" s="55"/>
      <c r="B245" s="59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spans="1:12" ht="15">
      <c r="A246" s="55"/>
      <c r="B246" s="59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1:12" ht="15">
      <c r="A247" s="55"/>
      <c r="B247" s="59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spans="1:12" ht="15">
      <c r="A248" s="55"/>
      <c r="B248" s="59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1:12" ht="15">
      <c r="A249" s="55"/>
      <c r="B249" s="59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spans="1:12" ht="15">
      <c r="A250" s="55"/>
      <c r="B250" s="59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spans="1:12" ht="15">
      <c r="A251" s="55"/>
      <c r="B251" s="59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spans="1:12" ht="15">
      <c r="A252" s="55"/>
      <c r="B252" s="59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spans="1:12" ht="15">
      <c r="A253" s="55"/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spans="1:12" ht="15">
      <c r="A254" s="55"/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spans="1:12" ht="15">
      <c r="A255" s="55"/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  <row r="256" spans="1:12" ht="15">
      <c r="A256" s="55"/>
      <c r="B256" s="59"/>
      <c r="C256" s="58"/>
      <c r="D256" s="58"/>
      <c r="E256" s="58"/>
      <c r="F256" s="58"/>
      <c r="G256" s="58"/>
      <c r="H256" s="58"/>
      <c r="I256" s="58"/>
      <c r="J256" s="58"/>
      <c r="K256" s="58"/>
      <c r="L256" s="58"/>
    </row>
  </sheetData>
  <sheetProtection/>
  <mergeCells count="24">
    <mergeCell ref="P4:P6"/>
    <mergeCell ref="K4:K6"/>
    <mergeCell ref="L4:L6"/>
    <mergeCell ref="M4:M6"/>
    <mergeCell ref="N4:N6"/>
    <mergeCell ref="O4:O6"/>
    <mergeCell ref="I4:I6"/>
    <mergeCell ref="J4:J6"/>
    <mergeCell ref="J3:L3"/>
    <mergeCell ref="M3:O3"/>
    <mergeCell ref="E4:E6"/>
    <mergeCell ref="F4:F6"/>
    <mergeCell ref="G4:G6"/>
    <mergeCell ref="H4:H6"/>
    <mergeCell ref="Q4:Q6"/>
    <mergeCell ref="P3:R3"/>
    <mergeCell ref="R4:R6"/>
    <mergeCell ref="A1:B1"/>
    <mergeCell ref="A3:A6"/>
    <mergeCell ref="B3:B6"/>
    <mergeCell ref="C3:C6"/>
    <mergeCell ref="D3:F3"/>
    <mergeCell ref="G3:I3"/>
    <mergeCell ref="D4:D6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2012-09-20T08:50:41Z</dcterms:created>
  <dcterms:modified xsi:type="dcterms:W3CDTF">2012-09-21T10:30:24Z</dcterms:modified>
  <cp:category/>
  <cp:version/>
  <cp:contentType/>
  <cp:contentStatus/>
</cp:coreProperties>
</file>