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ajasthan(F)" sheetId="1" r:id="rId1"/>
  </sheets>
  <definedNames>
    <definedName name="_xlnm.Print_Area" localSheetId="0">'Rajasthan(F)'!$A$1:$P$123</definedName>
    <definedName name="_xlnm.Print_Titles" localSheetId="0">'Rajasthan(F)'!$A:$B,'Rajasthan(F)'!$1:$7</definedName>
  </definedNames>
  <calcPr fullCalcOnLoad="1"/>
</workbook>
</file>

<file path=xl/sharedStrings.xml><?xml version="1.0" encoding="utf-8"?>
<sst xmlns="http://schemas.openxmlformats.org/spreadsheetml/2006/main" count="154" uniqueCount="143">
  <si>
    <t xml:space="preserve">FINANCIAL PERFORMANCE OF RAJASTHAN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</si>
  <si>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</si>
  <si>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</si>
  <si>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</si>
  <si>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</si>
  <si>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</si>
  <si>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</si>
  <si>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</si>
  <si>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</si>
  <si>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 xml:space="preserve">Annual Plan - 2006-07 </t>
  </si>
  <si>
    <t>Approved Outlay</t>
  </si>
  <si>
    <t>Revised Outlay</t>
  </si>
  <si>
    <t>Actual Expenditure</t>
  </si>
  <si>
    <t xml:space="preserve">Revised Outlay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</si>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</sst>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1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1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 applyProtection="1" quotePrefix="1">
      <alignment horizontal="center" vertical="center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64" fontId="29" fillId="24" borderId="12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/>
      <protection/>
    </xf>
    <xf numFmtId="0" fontId="30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164" fontId="29" fillId="24" borderId="16" xfId="57" applyNumberFormat="1" applyFont="1" applyFill="1" applyBorder="1" applyAlignment="1">
      <alignment vertical="center"/>
      <protection/>
    </xf>
    <xf numFmtId="164" fontId="30" fillId="24" borderId="13" xfId="57" applyNumberFormat="1" applyFont="1" applyFill="1" applyBorder="1" applyAlignment="1" applyProtection="1">
      <alignment horizontal="left" vertical="center"/>
      <protection/>
    </xf>
    <xf numFmtId="2" fontId="30" fillId="24" borderId="13" xfId="0" applyNumberFormat="1" applyFont="1" applyFill="1" applyBorder="1" applyAlignment="1">
      <alignment/>
    </xf>
    <xf numFmtId="165" fontId="30" fillId="0" borderId="13" xfId="0" applyNumberFormat="1" applyFont="1" applyBorder="1" applyAlignment="1">
      <alignment vertical="center"/>
    </xf>
    <xf numFmtId="165" fontId="30" fillId="24" borderId="13" xfId="0" applyNumberFormat="1" applyFont="1" applyFill="1" applyBorder="1" applyAlignment="1">
      <alignment/>
    </xf>
    <xf numFmtId="2" fontId="30" fillId="24" borderId="17" xfId="0" applyNumberFormat="1" applyFont="1" applyFill="1" applyBorder="1" applyAlignment="1">
      <alignment/>
    </xf>
    <xf numFmtId="0" fontId="24" fillId="24" borderId="13" xfId="0" applyFont="1" applyFill="1" applyBorder="1" applyAlignment="1">
      <alignment/>
    </xf>
    <xf numFmtId="0" fontId="24" fillId="24" borderId="17" xfId="0" applyFont="1" applyFill="1" applyBorder="1" applyAlignment="1">
      <alignment/>
    </xf>
    <xf numFmtId="164" fontId="29" fillId="24" borderId="18" xfId="57" applyNumberFormat="1" applyFont="1" applyFill="1" applyBorder="1" applyAlignment="1">
      <alignment vertical="center"/>
      <protection/>
    </xf>
    <xf numFmtId="165" fontId="30" fillId="24" borderId="17" xfId="0" applyNumberFormat="1" applyFont="1" applyFill="1" applyBorder="1" applyAlignment="1">
      <alignment/>
    </xf>
    <xf numFmtId="164" fontId="22" fillId="24" borderId="13" xfId="57" applyNumberFormat="1" applyFont="1" applyFill="1" applyBorder="1" applyAlignment="1" applyProtection="1">
      <alignment horizontal="left" vertical="center"/>
      <protection/>
    </xf>
    <xf numFmtId="2" fontId="26" fillId="24" borderId="13" xfId="0" applyNumberFormat="1" applyFont="1" applyFill="1" applyBorder="1" applyAlignment="1">
      <alignment/>
    </xf>
    <xf numFmtId="165" fontId="26" fillId="24" borderId="13" xfId="0" applyNumberFormat="1" applyFont="1" applyFill="1" applyBorder="1" applyAlignment="1">
      <alignment/>
    </xf>
    <xf numFmtId="165" fontId="29" fillId="24" borderId="13" xfId="0" applyNumberFormat="1" applyFont="1" applyFill="1" applyBorder="1" applyAlignment="1">
      <alignment/>
    </xf>
    <xf numFmtId="165" fontId="26" fillId="24" borderId="17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24" borderId="0" xfId="0" applyFont="1" applyFill="1" applyAlignment="1">
      <alignment/>
    </xf>
    <xf numFmtId="2" fontId="29" fillId="24" borderId="13" xfId="0" applyNumberFormat="1" applyFont="1" applyFill="1" applyBorder="1" applyAlignment="1">
      <alignment/>
    </xf>
    <xf numFmtId="173" fontId="30" fillId="24" borderId="13" xfId="0" applyNumberFormat="1" applyFont="1" applyFill="1" applyBorder="1" applyAlignment="1">
      <alignment horizontal="center"/>
    </xf>
    <xf numFmtId="165" fontId="30" fillId="0" borderId="13" xfId="0" applyNumberFormat="1" applyFont="1" applyBorder="1" applyAlignment="1">
      <alignment/>
    </xf>
    <xf numFmtId="165" fontId="26" fillId="24" borderId="13" xfId="0" applyNumberFormat="1" applyFont="1" applyFill="1" applyBorder="1" applyAlignment="1">
      <alignment horizontal="right"/>
    </xf>
    <xf numFmtId="164" fontId="29" fillId="24" borderId="19" xfId="57" applyNumberFormat="1" applyFont="1" applyFill="1" applyBorder="1" applyAlignment="1">
      <alignment vertical="center"/>
      <protection/>
    </xf>
    <xf numFmtId="2" fontId="30" fillId="24" borderId="13" xfId="0" applyNumberFormat="1" applyFont="1" applyFill="1" applyBorder="1" applyAlignment="1">
      <alignment horizontal="center"/>
    </xf>
    <xf numFmtId="39" fontId="30" fillId="24" borderId="13" xfId="0" applyNumberFormat="1" applyFont="1" applyFill="1" applyBorder="1" applyAlignment="1">
      <alignment horizontal="center"/>
    </xf>
    <xf numFmtId="165" fontId="29" fillId="24" borderId="17" xfId="0" applyNumberFormat="1" applyFont="1" applyFill="1" applyBorder="1" applyAlignment="1">
      <alignment/>
    </xf>
    <xf numFmtId="2" fontId="30" fillId="0" borderId="13" xfId="0" applyNumberFormat="1" applyFont="1" applyFill="1" applyBorder="1" applyAlignment="1">
      <alignment/>
    </xf>
    <xf numFmtId="165" fontId="33" fillId="24" borderId="13" xfId="0" applyNumberFormat="1" applyFont="1" applyFill="1" applyBorder="1" applyAlignment="1">
      <alignment/>
    </xf>
    <xf numFmtId="165" fontId="33" fillId="24" borderId="17" xfId="0" applyNumberFormat="1" applyFont="1" applyFill="1" applyBorder="1" applyAlignment="1">
      <alignment/>
    </xf>
    <xf numFmtId="164" fontId="29" fillId="24" borderId="18" xfId="57" applyNumberFormat="1" applyFont="1" applyFill="1" applyBorder="1" applyAlignment="1">
      <alignment horizontal="right" vertical="center"/>
      <protection/>
    </xf>
    <xf numFmtId="164" fontId="30" fillId="24" borderId="13" xfId="57" applyNumberFormat="1" applyFont="1" applyFill="1" applyBorder="1" applyAlignment="1">
      <alignment vertical="center"/>
      <protection/>
    </xf>
    <xf numFmtId="164" fontId="33" fillId="24" borderId="13" xfId="57" applyNumberFormat="1" applyFont="1" applyFill="1" applyBorder="1" applyAlignment="1" applyProtection="1">
      <alignment horizontal="left" vertical="center"/>
      <protection/>
    </xf>
    <xf numFmtId="173" fontId="26" fillId="24" borderId="13" xfId="0" applyNumberFormat="1" applyFont="1" applyFill="1" applyBorder="1" applyAlignment="1">
      <alignment horizontal="center"/>
    </xf>
    <xf numFmtId="164" fontId="29" fillId="24" borderId="19" xfId="57" applyNumberFormat="1" applyFont="1" applyFill="1" applyBorder="1" applyAlignment="1">
      <alignment horizontal="center" vertical="center"/>
      <protection/>
    </xf>
    <xf numFmtId="164" fontId="22" fillId="24" borderId="20" xfId="57" applyNumberFormat="1" applyFont="1" applyFill="1" applyBorder="1" applyAlignment="1" applyProtection="1">
      <alignment horizontal="left" vertical="center"/>
      <protection/>
    </xf>
    <xf numFmtId="2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2" fontId="26" fillId="24" borderId="20" xfId="0" applyNumberFormat="1" applyFont="1" applyFill="1" applyBorder="1" applyAlignment="1">
      <alignment horizontal="center"/>
    </xf>
    <xf numFmtId="164" fontId="30" fillId="24" borderId="0" xfId="57" applyNumberFormat="1" applyFont="1" applyFill="1" applyAlignment="1">
      <alignment vertical="center"/>
      <protection/>
    </xf>
    <xf numFmtId="0" fontId="30" fillId="24" borderId="0" xfId="0" applyFont="1" applyFill="1" applyAlignment="1">
      <alignment/>
    </xf>
    <xf numFmtId="164" fontId="34" fillId="24" borderId="18" xfId="57" applyNumberFormat="1" applyFont="1" applyFill="1" applyBorder="1" applyAlignment="1">
      <alignment vertical="center"/>
      <protection/>
    </xf>
    <xf numFmtId="164" fontId="29" fillId="24" borderId="0" xfId="57" applyNumberFormat="1" applyFont="1" applyFill="1" applyAlignment="1">
      <alignment vertical="center"/>
      <protection/>
    </xf>
    <xf numFmtId="0" fontId="35" fillId="24" borderId="0" xfId="0" applyFont="1" applyFill="1" applyAlignment="1">
      <alignment/>
    </xf>
    <xf numFmtId="164" fontId="35" fillId="24" borderId="0" xfId="57" applyNumberFormat="1" applyFont="1" applyFill="1" applyAlignment="1">
      <alignment vertical="center"/>
      <protection/>
    </xf>
    <xf numFmtId="164" fontId="31" fillId="24" borderId="18" xfId="57" applyNumberFormat="1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top" wrapText="1"/>
    </xf>
    <xf numFmtId="0" fontId="26" fillId="24" borderId="21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6" fillId="24" borderId="11" xfId="57" applyNumberFormat="1" applyFont="1" applyFill="1" applyBorder="1" applyAlignment="1">
      <alignment horizontal="center" vertical="center" wrapText="1"/>
      <protection/>
    </xf>
    <xf numFmtId="164" fontId="26" fillId="24" borderId="11" xfId="57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vertical="top" wrapText="1"/>
    </xf>
    <xf numFmtId="0" fontId="26" fillId="24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85" zoomScaleNormal="85" zoomScaleSheetLayoutView="55" workbookViewId="0" topLeftCell="A100">
      <selection activeCell="C126" sqref="C126"/>
    </sheetView>
  </sheetViews>
  <sheetFormatPr defaultColWidth="9.140625" defaultRowHeight="12.75"/>
  <cols>
    <col min="1" max="1" width="5.28125" style="61" customWidth="1"/>
    <col min="2" max="2" width="55.421875" style="7" customWidth="1"/>
    <col min="3" max="3" width="15.57421875" style="3" customWidth="1"/>
    <col min="4" max="4" width="14.57421875" style="3" customWidth="1"/>
    <col min="5" max="5" width="13.57421875" style="3" customWidth="1"/>
    <col min="6" max="6" width="14.00390625" style="3" customWidth="1"/>
    <col min="7" max="7" width="13.421875" style="3" customWidth="1"/>
    <col min="8" max="8" width="14.28125" style="3" customWidth="1"/>
    <col min="9" max="9" width="14.140625" style="3" customWidth="1"/>
    <col min="10" max="10" width="13.421875" style="3" customWidth="1"/>
    <col min="11" max="11" width="13.57421875" style="3" customWidth="1"/>
    <col min="12" max="12" width="14.7109375" style="3" customWidth="1"/>
    <col min="13" max="13" width="13.7109375" style="3" customWidth="1"/>
    <col min="14" max="15" width="14.8515625" style="3" customWidth="1"/>
    <col min="16" max="16" width="14.7109375" style="3" customWidth="1"/>
    <col min="17" max="17" width="15.421875" style="3" customWidth="1"/>
    <col min="18" max="18" width="14.140625" style="3" customWidth="1"/>
    <col min="19" max="16384" width="9.140625" style="3" customWidth="1"/>
  </cols>
  <sheetData>
    <row r="1" spans="1:34" ht="15.75">
      <c r="A1" s="66"/>
      <c r="B1" s="66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thickBot="1">
      <c r="A3" s="67" t="s">
        <v>2</v>
      </c>
      <c r="B3" s="68" t="s">
        <v>3</v>
      </c>
      <c r="C3" s="62" t="s">
        <v>4</v>
      </c>
      <c r="D3" s="70" t="s">
        <v>5</v>
      </c>
      <c r="E3" s="70"/>
      <c r="F3" s="70"/>
      <c r="G3" s="70" t="s">
        <v>6</v>
      </c>
      <c r="H3" s="70"/>
      <c r="I3" s="70"/>
      <c r="J3" s="70" t="s">
        <v>7</v>
      </c>
      <c r="K3" s="70"/>
      <c r="L3" s="70"/>
      <c r="M3" s="63" t="s">
        <v>8</v>
      </c>
      <c r="N3" s="64"/>
      <c r="O3" s="65"/>
      <c r="P3" s="63" t="s">
        <v>9</v>
      </c>
      <c r="Q3" s="64"/>
      <c r="R3" s="6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67"/>
      <c r="B4" s="68"/>
      <c r="C4" s="69"/>
      <c r="D4" s="62" t="s">
        <v>10</v>
      </c>
      <c r="E4" s="62" t="s">
        <v>11</v>
      </c>
      <c r="F4" s="62" t="s">
        <v>12</v>
      </c>
      <c r="G4" s="62" t="s">
        <v>10</v>
      </c>
      <c r="H4" s="62" t="s">
        <v>11</v>
      </c>
      <c r="I4" s="62" t="s">
        <v>12</v>
      </c>
      <c r="J4" s="62" t="s">
        <v>10</v>
      </c>
      <c r="K4" s="62" t="s">
        <v>11</v>
      </c>
      <c r="L4" s="62" t="s">
        <v>12</v>
      </c>
      <c r="M4" s="62" t="s">
        <v>10</v>
      </c>
      <c r="N4" s="62" t="s">
        <v>11</v>
      </c>
      <c r="O4" s="62" t="s">
        <v>12</v>
      </c>
      <c r="P4" s="62" t="s">
        <v>10</v>
      </c>
      <c r="Q4" s="62" t="s">
        <v>13</v>
      </c>
      <c r="R4" s="62" t="s">
        <v>12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67"/>
      <c r="B5" s="68"/>
      <c r="C5" s="6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67"/>
      <c r="B6" s="68"/>
      <c r="C6" s="6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8" t="s">
        <v>14</v>
      </c>
      <c r="B7" s="9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>
        <v>15</v>
      </c>
      <c r="P7" s="10">
        <v>16</v>
      </c>
      <c r="Q7" s="10">
        <v>17</v>
      </c>
      <c r="R7" s="10">
        <v>18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13" t="s">
        <v>28</v>
      </c>
      <c r="B8" s="14" t="s">
        <v>124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18"/>
      <c r="B9" s="19" t="s">
        <v>29</v>
      </c>
      <c r="C9" s="20">
        <v>10534</v>
      </c>
      <c r="D9" s="20">
        <v>2267</v>
      </c>
      <c r="E9" s="20">
        <v>1435</v>
      </c>
      <c r="F9" s="20">
        <v>1316.59</v>
      </c>
      <c r="G9" s="21">
        <v>1828</v>
      </c>
      <c r="H9" s="22">
        <v>1827.8</v>
      </c>
      <c r="I9" s="22">
        <v>1589.42</v>
      </c>
      <c r="J9" s="20">
        <v>2479.75</v>
      </c>
      <c r="K9" s="20">
        <v>1884.51</v>
      </c>
      <c r="L9" s="20">
        <v>1975.46</v>
      </c>
      <c r="M9" s="22">
        <v>5228.32</v>
      </c>
      <c r="N9" s="22">
        <v>19727.6</v>
      </c>
      <c r="O9" s="20">
        <f>16538.35+1082.72</f>
        <v>17621.07</v>
      </c>
      <c r="P9" s="20">
        <v>7750</v>
      </c>
      <c r="Q9" s="20">
        <v>8895.79</v>
      </c>
      <c r="R9" s="23">
        <f>17559.02+1012.42+356.01</f>
        <v>18927.449999999997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8"/>
      <c r="B10" s="19" t="s">
        <v>30</v>
      </c>
      <c r="C10" s="20"/>
      <c r="D10" s="20"/>
      <c r="E10" s="20"/>
      <c r="F10" s="20">
        <v>0</v>
      </c>
      <c r="G10" s="22">
        <v>0</v>
      </c>
      <c r="H10" s="22">
        <v>0</v>
      </c>
      <c r="I10" s="22">
        <v>0</v>
      </c>
      <c r="J10" s="20"/>
      <c r="K10" s="20">
        <v>122.03</v>
      </c>
      <c r="L10" s="20">
        <v>99.47</v>
      </c>
      <c r="M10" s="22">
        <v>300</v>
      </c>
      <c r="N10" s="22">
        <v>396</v>
      </c>
      <c r="O10" s="20">
        <v>289.06</v>
      </c>
      <c r="P10" s="20">
        <v>350</v>
      </c>
      <c r="Q10" s="20">
        <v>365</v>
      </c>
      <c r="R10" s="23"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8"/>
      <c r="B11" s="19" t="s">
        <v>31</v>
      </c>
      <c r="C11" s="20">
        <v>27071</v>
      </c>
      <c r="D11" s="20">
        <v>125</v>
      </c>
      <c r="E11" s="20">
        <v>19</v>
      </c>
      <c r="F11" s="20">
        <v>23</v>
      </c>
      <c r="G11" s="21">
        <v>46</v>
      </c>
      <c r="H11" s="22">
        <v>46.2</v>
      </c>
      <c r="I11" s="22">
        <v>43.74</v>
      </c>
      <c r="J11" s="20">
        <v>48.42</v>
      </c>
      <c r="K11" s="20">
        <v>390.42</v>
      </c>
      <c r="L11" s="20">
        <v>363.37</v>
      </c>
      <c r="M11" s="22">
        <v>45.06</v>
      </c>
      <c r="N11" s="22">
        <v>121.8</v>
      </c>
      <c r="O11" s="20">
        <v>115.94</v>
      </c>
      <c r="P11" s="20">
        <v>45.09</v>
      </c>
      <c r="Q11" s="20">
        <v>1210.31</v>
      </c>
      <c r="R11" s="23">
        <v>39.01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8"/>
      <c r="B12" s="19" t="s">
        <v>32</v>
      </c>
      <c r="C12" s="20"/>
      <c r="D12" s="20"/>
      <c r="E12" s="20"/>
      <c r="F12" s="20"/>
      <c r="G12" s="22"/>
      <c r="H12" s="22"/>
      <c r="I12" s="22"/>
      <c r="J12" s="24"/>
      <c r="K12" s="24"/>
      <c r="L12" s="20"/>
      <c r="M12" s="24"/>
      <c r="N12" s="24"/>
      <c r="O12" s="20"/>
      <c r="P12" s="20"/>
      <c r="Q12" s="20"/>
      <c r="R12" s="2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26"/>
      <c r="B13" s="19" t="s">
        <v>33</v>
      </c>
      <c r="C13" s="20">
        <v>4477</v>
      </c>
      <c r="D13" s="20">
        <v>784</v>
      </c>
      <c r="E13" s="20">
        <v>602</v>
      </c>
      <c r="F13" s="20">
        <v>442.03</v>
      </c>
      <c r="G13" s="21">
        <v>512</v>
      </c>
      <c r="H13" s="22">
        <v>501.6</v>
      </c>
      <c r="I13" s="22">
        <v>568.85</v>
      </c>
      <c r="J13" s="20">
        <v>794.19</v>
      </c>
      <c r="K13" s="20">
        <v>787.11</v>
      </c>
      <c r="L13" s="20">
        <v>702.11</v>
      </c>
      <c r="M13" s="22">
        <v>2068.42</v>
      </c>
      <c r="N13" s="22">
        <v>1851.07</v>
      </c>
      <c r="O13" s="20">
        <f>1428.46+28.24+29.15</f>
        <v>1485.8500000000001</v>
      </c>
      <c r="P13" s="20">
        <v>1847.6</v>
      </c>
      <c r="Q13" s="20">
        <v>1648.36</v>
      </c>
      <c r="R13" s="23">
        <f>1462.35+18.6+29</f>
        <v>1509.9499999999998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6"/>
      <c r="B14" s="19" t="s">
        <v>34</v>
      </c>
      <c r="C14" s="20">
        <v>0</v>
      </c>
      <c r="D14" s="20">
        <v>0</v>
      </c>
      <c r="E14" s="20">
        <v>0</v>
      </c>
      <c r="F14" s="20"/>
      <c r="G14" s="21">
        <v>0</v>
      </c>
      <c r="H14" s="22">
        <v>483</v>
      </c>
      <c r="I14" s="22">
        <v>483</v>
      </c>
      <c r="J14" s="20">
        <v>0.01</v>
      </c>
      <c r="K14" s="20">
        <v>0.01</v>
      </c>
      <c r="L14" s="20">
        <v>0</v>
      </c>
      <c r="M14" s="22">
        <v>0.01</v>
      </c>
      <c r="N14" s="22">
        <v>0.01</v>
      </c>
      <c r="O14" s="20">
        <v>0</v>
      </c>
      <c r="P14" s="20">
        <v>0.01</v>
      </c>
      <c r="Q14" s="20">
        <v>0.01</v>
      </c>
      <c r="R14" s="23"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6"/>
      <c r="B15" s="19" t="s">
        <v>35</v>
      </c>
      <c r="C15" s="20">
        <v>302</v>
      </c>
      <c r="D15" s="20">
        <v>64</v>
      </c>
      <c r="E15" s="20">
        <v>44</v>
      </c>
      <c r="F15" s="20">
        <v>38.16</v>
      </c>
      <c r="G15" s="21">
        <v>36</v>
      </c>
      <c r="H15" s="22">
        <v>36.35</v>
      </c>
      <c r="I15" s="22">
        <v>19.62</v>
      </c>
      <c r="J15" s="20">
        <v>39.15</v>
      </c>
      <c r="K15" s="20">
        <v>39.15</v>
      </c>
      <c r="L15" s="20">
        <v>38.8</v>
      </c>
      <c r="M15" s="22">
        <v>42.53</v>
      </c>
      <c r="N15" s="22">
        <v>62.34</v>
      </c>
      <c r="O15" s="20">
        <v>52.41</v>
      </c>
      <c r="P15" s="20">
        <v>70.25</v>
      </c>
      <c r="Q15" s="20">
        <v>63.39</v>
      </c>
      <c r="R15" s="23">
        <v>52.67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6"/>
      <c r="B16" s="19" t="s">
        <v>36</v>
      </c>
      <c r="C16" s="20">
        <v>115320</v>
      </c>
      <c r="D16" s="20">
        <v>17352</v>
      </c>
      <c r="E16" s="20">
        <v>454</v>
      </c>
      <c r="F16" s="20">
        <v>427.82</v>
      </c>
      <c r="G16" s="21">
        <v>1500</v>
      </c>
      <c r="H16" s="22">
        <v>1550</v>
      </c>
      <c r="I16" s="22">
        <v>3697.99</v>
      </c>
      <c r="J16" s="20">
        <v>9525</v>
      </c>
      <c r="K16" s="20">
        <v>7461.18</v>
      </c>
      <c r="L16" s="20">
        <v>7949.26</v>
      </c>
      <c r="M16" s="22">
        <v>11915.87</v>
      </c>
      <c r="N16" s="22">
        <v>10532.87</v>
      </c>
      <c r="O16" s="20">
        <v>10481.47</v>
      </c>
      <c r="P16" s="20">
        <v>12300</v>
      </c>
      <c r="Q16" s="20">
        <v>8976.79</v>
      </c>
      <c r="R16" s="23">
        <v>8642.3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6"/>
      <c r="B17" s="19" t="s">
        <v>37</v>
      </c>
      <c r="C17" s="20">
        <v>0</v>
      </c>
      <c r="D17" s="20">
        <v>0</v>
      </c>
      <c r="E17" s="20">
        <v>0</v>
      </c>
      <c r="F17" s="20"/>
      <c r="G17" s="21">
        <v>0</v>
      </c>
      <c r="H17" s="22">
        <v>0</v>
      </c>
      <c r="I17" s="22">
        <v>0</v>
      </c>
      <c r="J17" s="20"/>
      <c r="K17" s="20">
        <v>0</v>
      </c>
      <c r="L17" s="20">
        <v>0</v>
      </c>
      <c r="M17" s="22">
        <v>0</v>
      </c>
      <c r="N17" s="22">
        <v>0</v>
      </c>
      <c r="O17" s="20">
        <v>0</v>
      </c>
      <c r="P17" s="20">
        <v>0</v>
      </c>
      <c r="Q17" s="20">
        <v>0</v>
      </c>
      <c r="R17" s="23"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6"/>
      <c r="B18" s="19" t="s">
        <v>38</v>
      </c>
      <c r="C18" s="20">
        <v>1030</v>
      </c>
      <c r="D18" s="20">
        <v>210</v>
      </c>
      <c r="E18" s="20">
        <v>210</v>
      </c>
      <c r="F18" s="20">
        <v>350.05</v>
      </c>
      <c r="G18" s="21">
        <v>225</v>
      </c>
      <c r="H18" s="22">
        <v>225</v>
      </c>
      <c r="I18" s="22">
        <v>194.84</v>
      </c>
      <c r="J18" s="20">
        <v>240</v>
      </c>
      <c r="K18" s="20">
        <v>240</v>
      </c>
      <c r="L18" s="20">
        <v>197.47</v>
      </c>
      <c r="M18" s="22">
        <v>255</v>
      </c>
      <c r="N18" s="22">
        <v>255</v>
      </c>
      <c r="O18" s="20">
        <v>212.19</v>
      </c>
      <c r="P18" s="20">
        <v>270</v>
      </c>
      <c r="Q18" s="20">
        <v>611.43</v>
      </c>
      <c r="R18" s="23">
        <v>629.66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6"/>
      <c r="B19" s="19" t="s">
        <v>39</v>
      </c>
      <c r="C19" s="20">
        <v>1819</v>
      </c>
      <c r="D19" s="20">
        <v>322</v>
      </c>
      <c r="E19" s="20">
        <v>322</v>
      </c>
      <c r="F19" s="20">
        <v>321.72</v>
      </c>
      <c r="G19" s="21">
        <v>343</v>
      </c>
      <c r="H19" s="22">
        <v>342.57</v>
      </c>
      <c r="I19" s="22">
        <v>342.57</v>
      </c>
      <c r="J19" s="20">
        <v>366.93</v>
      </c>
      <c r="K19" s="20">
        <v>491.93</v>
      </c>
      <c r="L19" s="20">
        <v>441.93</v>
      </c>
      <c r="M19" s="22">
        <v>578.42</v>
      </c>
      <c r="N19" s="22">
        <v>953.42</v>
      </c>
      <c r="O19" s="20">
        <f>362.08+578.61</f>
        <v>940.69</v>
      </c>
      <c r="P19" s="20">
        <v>824.4</v>
      </c>
      <c r="Q19" s="20">
        <v>824.4</v>
      </c>
      <c r="R19" s="23">
        <f>286+538.4</f>
        <v>824.4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6"/>
      <c r="B20" s="19" t="s">
        <v>40</v>
      </c>
      <c r="C20" s="20">
        <v>2605</v>
      </c>
      <c r="D20" s="20">
        <v>552</v>
      </c>
      <c r="E20" s="20">
        <v>552</v>
      </c>
      <c r="F20" s="20">
        <v>550</v>
      </c>
      <c r="G20" s="21">
        <v>551</v>
      </c>
      <c r="H20" s="22">
        <v>1950</v>
      </c>
      <c r="I20" s="22">
        <v>1949</v>
      </c>
      <c r="J20" s="20">
        <v>550.61</v>
      </c>
      <c r="K20" s="20">
        <v>550.61</v>
      </c>
      <c r="L20" s="20">
        <v>0</v>
      </c>
      <c r="M20" s="22">
        <v>650.02</v>
      </c>
      <c r="N20" s="22">
        <v>650.02</v>
      </c>
      <c r="O20" s="20">
        <v>650</v>
      </c>
      <c r="P20" s="20">
        <v>650.02</v>
      </c>
      <c r="Q20" s="20">
        <v>650.02</v>
      </c>
      <c r="R20" s="23">
        <v>650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6"/>
      <c r="B21" s="19" t="s">
        <v>41</v>
      </c>
      <c r="C21" s="20">
        <v>1790</v>
      </c>
      <c r="D21" s="20">
        <v>735</v>
      </c>
      <c r="E21" s="20">
        <v>3995</v>
      </c>
      <c r="F21" s="20">
        <v>3918.9</v>
      </c>
      <c r="G21" s="21">
        <v>149</v>
      </c>
      <c r="H21" s="22">
        <v>100</v>
      </c>
      <c r="I21" s="22">
        <v>98.43</v>
      </c>
      <c r="J21" s="20">
        <v>178.63</v>
      </c>
      <c r="K21" s="20">
        <v>5457.29</v>
      </c>
      <c r="L21" s="22">
        <v>5441.07</v>
      </c>
      <c r="M21" s="22">
        <v>915.74</v>
      </c>
      <c r="N21" s="22">
        <v>4268</v>
      </c>
      <c r="O21" s="22">
        <v>3580.19</v>
      </c>
      <c r="P21" s="20">
        <v>815</v>
      </c>
      <c r="Q21" s="20">
        <v>2157</v>
      </c>
      <c r="R21" s="27">
        <v>473.71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6"/>
      <c r="B22" s="19" t="s">
        <v>125</v>
      </c>
      <c r="C22" s="20"/>
      <c r="D22" s="20"/>
      <c r="E22" s="20"/>
      <c r="F22" s="20"/>
      <c r="G22" s="22"/>
      <c r="H22" s="22"/>
      <c r="I22" s="22"/>
      <c r="J22" s="20"/>
      <c r="K22" s="20"/>
      <c r="L22" s="22"/>
      <c r="M22" s="22"/>
      <c r="N22" s="22"/>
      <c r="O22" s="22"/>
      <c r="P22" s="20"/>
      <c r="Q22" s="20"/>
      <c r="R22" s="2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6"/>
      <c r="B23" s="19" t="s">
        <v>42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2">
        <v>11000</v>
      </c>
      <c r="I23" s="22">
        <v>0</v>
      </c>
      <c r="J23" s="20"/>
      <c r="K23" s="20"/>
      <c r="L23" s="22">
        <v>550.55</v>
      </c>
      <c r="M23" s="22">
        <v>0</v>
      </c>
      <c r="N23" s="22">
        <v>0</v>
      </c>
      <c r="O23" s="22">
        <v>0</v>
      </c>
      <c r="P23" s="20">
        <v>0</v>
      </c>
      <c r="Q23" s="20">
        <v>0</v>
      </c>
      <c r="R23" s="27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6"/>
      <c r="B24" s="19" t="s">
        <v>43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  <c r="H24" s="22">
        <v>0</v>
      </c>
      <c r="I24" s="22">
        <v>0</v>
      </c>
      <c r="J24" s="20"/>
      <c r="K24" s="20"/>
      <c r="L24" s="22">
        <v>0</v>
      </c>
      <c r="M24" s="22">
        <v>0</v>
      </c>
      <c r="N24" s="22">
        <v>0</v>
      </c>
      <c r="O24" s="22">
        <v>0</v>
      </c>
      <c r="P24" s="20">
        <v>0</v>
      </c>
      <c r="Q24" s="20">
        <v>0</v>
      </c>
      <c r="R24" s="27"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4" customFormat="1" ht="15" customHeight="1">
      <c r="A25" s="26"/>
      <c r="B25" s="28" t="s">
        <v>44</v>
      </c>
      <c r="C25" s="29">
        <f aca="true" t="shared" si="0" ref="C25:R25">SUM(C9:C24)</f>
        <v>164948</v>
      </c>
      <c r="D25" s="29">
        <f t="shared" si="0"/>
        <v>22411</v>
      </c>
      <c r="E25" s="29">
        <f t="shared" si="0"/>
        <v>7633</v>
      </c>
      <c r="F25" s="29">
        <f t="shared" si="0"/>
        <v>7388.27</v>
      </c>
      <c r="G25" s="30">
        <f t="shared" si="0"/>
        <v>5190</v>
      </c>
      <c r="H25" s="30">
        <f t="shared" si="0"/>
        <v>18062.52</v>
      </c>
      <c r="I25" s="30">
        <f t="shared" si="0"/>
        <v>8987.46</v>
      </c>
      <c r="J25" s="29">
        <f t="shared" si="0"/>
        <v>14222.69</v>
      </c>
      <c r="K25" s="29">
        <f t="shared" si="0"/>
        <v>17424.24</v>
      </c>
      <c r="L25" s="30">
        <f t="shared" si="0"/>
        <v>17759.49</v>
      </c>
      <c r="M25" s="30">
        <f t="shared" si="0"/>
        <v>21999.39</v>
      </c>
      <c r="N25" s="30">
        <f t="shared" si="0"/>
        <v>38818.12999999999</v>
      </c>
      <c r="O25" s="30">
        <f t="shared" si="0"/>
        <v>35428.869999999995</v>
      </c>
      <c r="P25" s="30">
        <f t="shared" si="0"/>
        <v>24922.370000000003</v>
      </c>
      <c r="Q25" s="31">
        <f t="shared" si="0"/>
        <v>25402.500000000004</v>
      </c>
      <c r="R25" s="32">
        <f t="shared" si="0"/>
        <v>31749.149999999994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5" customHeight="1">
      <c r="A26" s="26"/>
      <c r="B26" s="19"/>
      <c r="C26" s="20"/>
      <c r="D26" s="20"/>
      <c r="E26" s="20"/>
      <c r="F26" s="35"/>
      <c r="G26" s="22"/>
      <c r="H26" s="22"/>
      <c r="I26" s="22"/>
      <c r="J26" s="20"/>
      <c r="K26" s="36"/>
      <c r="L26" s="30"/>
      <c r="M26" s="22"/>
      <c r="N26" s="22"/>
      <c r="O26" s="30"/>
      <c r="P26" s="20"/>
      <c r="Q26" s="20"/>
      <c r="R26" s="3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6" t="s">
        <v>45</v>
      </c>
      <c r="B27" s="14" t="s">
        <v>126</v>
      </c>
      <c r="C27" s="20"/>
      <c r="D27" s="20"/>
      <c r="E27" s="20"/>
      <c r="F27" s="20"/>
      <c r="G27" s="22"/>
      <c r="H27" s="22"/>
      <c r="I27" s="22"/>
      <c r="J27" s="20"/>
      <c r="K27" s="20"/>
      <c r="L27" s="22"/>
      <c r="M27" s="22"/>
      <c r="N27" s="22"/>
      <c r="O27" s="22"/>
      <c r="P27" s="20"/>
      <c r="Q27" s="20"/>
      <c r="R27" s="2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6"/>
      <c r="B28" s="14" t="s">
        <v>127</v>
      </c>
      <c r="C28" s="20"/>
      <c r="D28" s="20"/>
      <c r="E28" s="20"/>
      <c r="F28" s="20"/>
      <c r="G28" s="22"/>
      <c r="H28" s="22"/>
      <c r="I28" s="22"/>
      <c r="J28" s="20"/>
      <c r="K28" s="20"/>
      <c r="L28" s="22"/>
      <c r="M28" s="22"/>
      <c r="N28" s="22"/>
      <c r="O28" s="22"/>
      <c r="P28" s="20"/>
      <c r="Q28" s="20"/>
      <c r="R28" s="2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6"/>
      <c r="B29" s="19" t="s">
        <v>46</v>
      </c>
      <c r="C29" s="20">
        <v>2785</v>
      </c>
      <c r="D29" s="20">
        <v>590</v>
      </c>
      <c r="E29" s="20">
        <v>590</v>
      </c>
      <c r="F29" s="20">
        <v>476.85</v>
      </c>
      <c r="G29" s="21">
        <v>500</v>
      </c>
      <c r="H29" s="22">
        <v>400</v>
      </c>
      <c r="I29" s="22">
        <v>543.34</v>
      </c>
      <c r="J29" s="20">
        <v>770</v>
      </c>
      <c r="K29" s="20">
        <v>770</v>
      </c>
      <c r="L29" s="22">
        <v>611.46</v>
      </c>
      <c r="M29" s="22">
        <v>800</v>
      </c>
      <c r="N29" s="22">
        <v>800</v>
      </c>
      <c r="O29" s="22">
        <v>600.37</v>
      </c>
      <c r="P29" s="20">
        <v>800</v>
      </c>
      <c r="Q29" s="20">
        <v>800</v>
      </c>
      <c r="R29" s="27">
        <v>800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6"/>
      <c r="B30" s="19" t="s">
        <v>47</v>
      </c>
      <c r="C30" s="20"/>
      <c r="D30" s="20">
        <v>1100</v>
      </c>
      <c r="E30" s="20">
        <v>2329</v>
      </c>
      <c r="F30" s="20">
        <v>2413.11</v>
      </c>
      <c r="G30" s="21">
        <v>1155</v>
      </c>
      <c r="H30" s="22">
        <v>2899.09</v>
      </c>
      <c r="I30" s="22">
        <v>4140.8</v>
      </c>
      <c r="J30" s="20">
        <v>1500</v>
      </c>
      <c r="K30" s="20">
        <v>3579.07</v>
      </c>
      <c r="L30" s="22">
        <v>3579.07</v>
      </c>
      <c r="M30" s="22">
        <v>4700</v>
      </c>
      <c r="N30" s="22">
        <v>4700</v>
      </c>
      <c r="O30" s="22">
        <v>4553.7</v>
      </c>
      <c r="P30" s="20">
        <v>4000</v>
      </c>
      <c r="Q30" s="20">
        <v>5109.7</v>
      </c>
      <c r="R30" s="27">
        <v>5109.7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6"/>
      <c r="B31" s="19" t="s">
        <v>48</v>
      </c>
      <c r="C31" s="20">
        <v>64</v>
      </c>
      <c r="D31" s="20">
        <v>14</v>
      </c>
      <c r="E31" s="20">
        <v>14</v>
      </c>
      <c r="F31" s="20">
        <v>0</v>
      </c>
      <c r="G31" s="21">
        <v>2</v>
      </c>
      <c r="H31" s="22">
        <v>2</v>
      </c>
      <c r="I31" s="22">
        <v>0</v>
      </c>
      <c r="J31" s="20"/>
      <c r="K31" s="20">
        <v>0.01</v>
      </c>
      <c r="L31" s="22">
        <v>0</v>
      </c>
      <c r="M31" s="22">
        <v>0.01</v>
      </c>
      <c r="N31" s="22">
        <v>0.01</v>
      </c>
      <c r="O31" s="22">
        <v>0</v>
      </c>
      <c r="P31" s="20">
        <v>0.01</v>
      </c>
      <c r="Q31" s="20">
        <v>0.01</v>
      </c>
      <c r="R31" s="27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6"/>
      <c r="B32" s="19" t="s">
        <v>49</v>
      </c>
      <c r="C32" s="20"/>
      <c r="D32" s="20">
        <v>100</v>
      </c>
      <c r="E32" s="20">
        <v>100</v>
      </c>
      <c r="F32" s="20">
        <v>100</v>
      </c>
      <c r="G32" s="21">
        <v>100</v>
      </c>
      <c r="H32" s="22">
        <v>100</v>
      </c>
      <c r="I32" s="22">
        <v>0</v>
      </c>
      <c r="J32" s="20">
        <v>150</v>
      </c>
      <c r="K32" s="20">
        <v>150</v>
      </c>
      <c r="L32" s="22">
        <v>150</v>
      </c>
      <c r="M32" s="22">
        <v>165</v>
      </c>
      <c r="N32" s="22">
        <v>232.14</v>
      </c>
      <c r="O32" s="22">
        <v>204.16</v>
      </c>
      <c r="P32" s="20">
        <v>165</v>
      </c>
      <c r="Q32" s="20">
        <v>335.94</v>
      </c>
      <c r="R32" s="27">
        <v>335.94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6"/>
      <c r="B33" s="19" t="s">
        <v>50</v>
      </c>
      <c r="C33" s="20"/>
      <c r="D33" s="20">
        <v>900</v>
      </c>
      <c r="E33" s="20">
        <v>900</v>
      </c>
      <c r="F33" s="20">
        <v>910.78</v>
      </c>
      <c r="G33" s="21">
        <v>900</v>
      </c>
      <c r="H33" s="22">
        <v>900</v>
      </c>
      <c r="I33" s="22">
        <v>1411.81</v>
      </c>
      <c r="J33" s="20">
        <v>875</v>
      </c>
      <c r="K33" s="20">
        <v>1148.34</v>
      </c>
      <c r="L33" s="22">
        <v>1148.32</v>
      </c>
      <c r="M33" s="22">
        <v>918.75</v>
      </c>
      <c r="N33" s="22">
        <v>1197.5</v>
      </c>
      <c r="O33" s="22">
        <v>1009</v>
      </c>
      <c r="P33" s="20">
        <v>850</v>
      </c>
      <c r="Q33" s="20">
        <v>1202.5</v>
      </c>
      <c r="R33" s="27">
        <v>1219.53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6"/>
      <c r="B34" s="19" t="s">
        <v>51</v>
      </c>
      <c r="C34" s="20"/>
      <c r="D34" s="20"/>
      <c r="E34" s="20">
        <v>0</v>
      </c>
      <c r="F34" s="20"/>
      <c r="G34" s="22">
        <v>0</v>
      </c>
      <c r="H34" s="22">
        <v>450</v>
      </c>
      <c r="I34" s="22">
        <v>423.15</v>
      </c>
      <c r="J34" s="20">
        <v>485</v>
      </c>
      <c r="K34" s="20">
        <v>485</v>
      </c>
      <c r="L34" s="22">
        <v>470.74</v>
      </c>
      <c r="M34" s="22">
        <v>510</v>
      </c>
      <c r="N34" s="22">
        <v>510</v>
      </c>
      <c r="O34" s="22">
        <v>520.18</v>
      </c>
      <c r="P34" s="20">
        <v>535</v>
      </c>
      <c r="Q34" s="20">
        <v>571.18</v>
      </c>
      <c r="R34" s="27">
        <v>530.67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6"/>
      <c r="B35" s="19" t="s">
        <v>52</v>
      </c>
      <c r="C35" s="20">
        <v>12907</v>
      </c>
      <c r="D35" s="20">
        <v>507</v>
      </c>
      <c r="E35" s="20">
        <v>507</v>
      </c>
      <c r="F35" s="20">
        <v>393.74</v>
      </c>
      <c r="G35" s="22">
        <v>0</v>
      </c>
      <c r="H35" s="22">
        <v>565</v>
      </c>
      <c r="I35" s="22">
        <v>0</v>
      </c>
      <c r="J35" s="20">
        <f>1047.51+200</f>
        <v>1247.51</v>
      </c>
      <c r="K35" s="20">
        <f>10+447.51</f>
        <v>457.51</v>
      </c>
      <c r="L35" s="22">
        <f>10+35+260.01</f>
        <v>305.01</v>
      </c>
      <c r="M35" s="22">
        <v>1469.98</v>
      </c>
      <c r="N35" s="22">
        <f>500+837.48+960.01</f>
        <v>2297.49</v>
      </c>
      <c r="O35" s="22">
        <f>500+2800+960.01</f>
        <v>4260.01</v>
      </c>
      <c r="P35" s="20">
        <f>500+872.5+6000+5+500+0.04</f>
        <v>7877.54</v>
      </c>
      <c r="Q35" s="20">
        <f>500+820+2300+5+500+0.04</f>
        <v>4125.04</v>
      </c>
      <c r="R35" s="27">
        <f>500+1000+500</f>
        <v>2000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6"/>
      <c r="B36" s="14" t="s">
        <v>128</v>
      </c>
      <c r="C36" s="20"/>
      <c r="D36" s="20"/>
      <c r="E36" s="20"/>
      <c r="F36" s="20"/>
      <c r="G36" s="22"/>
      <c r="H36" s="22"/>
      <c r="I36" s="22"/>
      <c r="J36" s="20"/>
      <c r="K36" s="20"/>
      <c r="L36" s="22"/>
      <c r="M36" s="22"/>
      <c r="N36" s="22"/>
      <c r="O36" s="22"/>
      <c r="P36" s="20"/>
      <c r="Q36" s="20"/>
      <c r="R36" s="2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6"/>
      <c r="B37" s="19" t="s">
        <v>53</v>
      </c>
      <c r="C37" s="20"/>
      <c r="D37" s="20"/>
      <c r="E37" s="20"/>
      <c r="F37" s="20">
        <v>0</v>
      </c>
      <c r="G37" s="21">
        <v>4000</v>
      </c>
      <c r="H37" s="22">
        <v>5000</v>
      </c>
      <c r="I37" s="22">
        <v>5865.86</v>
      </c>
      <c r="J37" s="20">
        <v>4400</v>
      </c>
      <c r="K37" s="20">
        <v>5105.44</v>
      </c>
      <c r="L37" s="22">
        <v>5105.44</v>
      </c>
      <c r="M37" s="22">
        <v>4800</v>
      </c>
      <c r="N37" s="22">
        <v>5500</v>
      </c>
      <c r="O37" s="22">
        <v>6350.19</v>
      </c>
      <c r="P37" s="20">
        <v>4500</v>
      </c>
      <c r="Q37" s="20">
        <v>4500</v>
      </c>
      <c r="R37" s="27">
        <v>4500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6"/>
      <c r="B38" s="19" t="s">
        <v>54</v>
      </c>
      <c r="C38" s="20">
        <v>22751</v>
      </c>
      <c r="D38" s="20">
        <f>4000+1080</f>
        <v>5080</v>
      </c>
      <c r="E38" s="20">
        <f>4746+995</f>
        <v>5741</v>
      </c>
      <c r="F38" s="20">
        <f>4744.72+1137.85</f>
        <v>5882.57</v>
      </c>
      <c r="G38" s="37">
        <v>0</v>
      </c>
      <c r="H38" s="22">
        <v>0</v>
      </c>
      <c r="I38" s="22">
        <v>0</v>
      </c>
      <c r="J38" s="20"/>
      <c r="K38" s="20">
        <f>260.01+163.21</f>
        <v>423.22</v>
      </c>
      <c r="L38" s="22">
        <f>163.21+374.61</f>
        <v>537.82</v>
      </c>
      <c r="M38" s="22">
        <v>5506.64</v>
      </c>
      <c r="N38" s="22">
        <f>2042.55+2800+200</f>
        <v>5042.55</v>
      </c>
      <c r="O38" s="22">
        <f>171.34+442.45</f>
        <v>613.79</v>
      </c>
      <c r="P38" s="20">
        <f>500+500+2000</f>
        <v>3000</v>
      </c>
      <c r="Q38" s="20">
        <f>1000+8000</f>
        <v>9000</v>
      </c>
      <c r="R38" s="27">
        <f>8000+3110.18</f>
        <v>11110.18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6"/>
      <c r="B39" s="14" t="s">
        <v>55</v>
      </c>
      <c r="C39" s="20">
        <v>301</v>
      </c>
      <c r="D39" s="20">
        <v>95</v>
      </c>
      <c r="E39" s="20">
        <v>33</v>
      </c>
      <c r="F39" s="20">
        <v>16.48</v>
      </c>
      <c r="G39" s="37">
        <v>45</v>
      </c>
      <c r="H39" s="22">
        <v>23</v>
      </c>
      <c r="I39" s="22">
        <v>12.14</v>
      </c>
      <c r="J39" s="20">
        <v>102.05</v>
      </c>
      <c r="K39" s="20">
        <v>65.05</v>
      </c>
      <c r="L39" s="22">
        <v>42.07</v>
      </c>
      <c r="M39" s="22">
        <v>1062.57</v>
      </c>
      <c r="N39" s="22">
        <v>693.22</v>
      </c>
      <c r="O39" s="22">
        <v>524.79</v>
      </c>
      <c r="P39" s="20">
        <v>196.51</v>
      </c>
      <c r="Q39" s="20">
        <v>494.14</v>
      </c>
      <c r="R39" s="27">
        <v>556.49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6"/>
      <c r="B40" s="14" t="s">
        <v>129</v>
      </c>
      <c r="C40" s="20"/>
      <c r="D40" s="20"/>
      <c r="E40" s="20"/>
      <c r="F40" s="20"/>
      <c r="G40" s="37"/>
      <c r="H40" s="22"/>
      <c r="I40" s="22"/>
      <c r="J40" s="20"/>
      <c r="K40" s="20"/>
      <c r="L40" s="22"/>
      <c r="M40" s="22"/>
      <c r="N40" s="22"/>
      <c r="O40" s="22"/>
      <c r="P40" s="20"/>
      <c r="Q40" s="20"/>
      <c r="R40" s="2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6"/>
      <c r="B41" s="19" t="s">
        <v>56</v>
      </c>
      <c r="C41" s="20">
        <v>191076</v>
      </c>
      <c r="D41" s="20">
        <v>41809</v>
      </c>
      <c r="E41" s="20">
        <v>41987</v>
      </c>
      <c r="F41" s="20">
        <v>37077.15</v>
      </c>
      <c r="G41" s="37">
        <v>29032</v>
      </c>
      <c r="H41" s="22">
        <v>37592.62</v>
      </c>
      <c r="I41" s="22">
        <v>36092.57</v>
      </c>
      <c r="J41" s="20">
        <v>38485.71</v>
      </c>
      <c r="K41" s="20">
        <v>49314.43</v>
      </c>
      <c r="L41" s="22">
        <v>51889.44</v>
      </c>
      <c r="M41" s="22">
        <v>53622.92</v>
      </c>
      <c r="N41" s="22">
        <v>48485.92</v>
      </c>
      <c r="O41" s="22">
        <v>46007.03</v>
      </c>
      <c r="P41" s="20">
        <v>41313.76</v>
      </c>
      <c r="Q41" s="20">
        <v>41070.34</v>
      </c>
      <c r="R41" s="27">
        <v>39765.83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6"/>
      <c r="B42" s="19" t="s">
        <v>57</v>
      </c>
      <c r="C42" s="24"/>
      <c r="D42" s="20">
        <v>0</v>
      </c>
      <c r="E42" s="20">
        <v>0</v>
      </c>
      <c r="F42" s="20"/>
      <c r="G42" s="37">
        <v>604</v>
      </c>
      <c r="H42" s="22">
        <v>239.05</v>
      </c>
      <c r="I42" s="22">
        <v>980.25</v>
      </c>
      <c r="J42" s="20">
        <v>0.01</v>
      </c>
      <c r="K42" s="20"/>
      <c r="L42" s="22">
        <v>1.2</v>
      </c>
      <c r="M42" s="22">
        <v>0</v>
      </c>
      <c r="N42" s="22">
        <v>0.07</v>
      </c>
      <c r="O42" s="22">
        <v>0</v>
      </c>
      <c r="P42" s="20">
        <v>0</v>
      </c>
      <c r="Q42" s="20">
        <v>0</v>
      </c>
      <c r="R42" s="27">
        <v>2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4" customFormat="1" ht="15" customHeight="1">
      <c r="A43" s="26"/>
      <c r="B43" s="28" t="s">
        <v>58</v>
      </c>
      <c r="C43" s="29">
        <f>SUM(C29:C42)</f>
        <v>229884</v>
      </c>
      <c r="D43" s="29">
        <f>SUM(D29:D42)</f>
        <v>50195</v>
      </c>
      <c r="E43" s="29">
        <f>SUM(E29:E42)</f>
        <v>52201</v>
      </c>
      <c r="F43" s="29">
        <f>SUM(F29:F42)</f>
        <v>47270.68</v>
      </c>
      <c r="G43" s="38">
        <f>SUM(G28:G42)</f>
        <v>36338</v>
      </c>
      <c r="H43" s="38">
        <f>SUM(H28:H42)</f>
        <v>48170.76000000001</v>
      </c>
      <c r="I43" s="38">
        <f>SUM(I28:I42)</f>
        <v>49469.92</v>
      </c>
      <c r="J43" s="29">
        <f aca="true" t="shared" si="1" ref="J43:R43">SUM(J29:J42)</f>
        <v>48015.28</v>
      </c>
      <c r="K43" s="29">
        <f t="shared" si="1"/>
        <v>61498.07</v>
      </c>
      <c r="L43" s="30">
        <f t="shared" si="1"/>
        <v>63840.57</v>
      </c>
      <c r="M43" s="30">
        <f t="shared" si="1"/>
        <v>73555.87</v>
      </c>
      <c r="N43" s="30">
        <f t="shared" si="1"/>
        <v>69458.90000000001</v>
      </c>
      <c r="O43" s="30">
        <f t="shared" si="1"/>
        <v>64643.22</v>
      </c>
      <c r="P43" s="29">
        <f t="shared" si="1"/>
        <v>63237.82</v>
      </c>
      <c r="Q43" s="35">
        <f t="shared" si="1"/>
        <v>67208.84999999999</v>
      </c>
      <c r="R43" s="32">
        <f t="shared" si="1"/>
        <v>65930.34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15" customHeight="1">
      <c r="A44" s="26"/>
      <c r="B44" s="19"/>
      <c r="C44" s="20"/>
      <c r="D44" s="20"/>
      <c r="E44" s="20"/>
      <c r="F44" s="35"/>
      <c r="G44" s="22"/>
      <c r="H44" s="22"/>
      <c r="I44" s="22"/>
      <c r="J44" s="20"/>
      <c r="K44" s="36"/>
      <c r="L44" s="30"/>
      <c r="M44" s="22"/>
      <c r="N44" s="22"/>
      <c r="O44" s="30"/>
      <c r="P44" s="20"/>
      <c r="Q44" s="20"/>
      <c r="R44" s="3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26" t="s">
        <v>59</v>
      </c>
      <c r="B45" s="14" t="s">
        <v>130</v>
      </c>
      <c r="C45" s="29">
        <v>16922</v>
      </c>
      <c r="D45" s="29">
        <f>3032+250</f>
        <v>3282</v>
      </c>
      <c r="E45" s="29">
        <v>3282</v>
      </c>
      <c r="F45" s="29">
        <v>4207</v>
      </c>
      <c r="G45" s="30">
        <f>3032+2000+250</f>
        <v>5282</v>
      </c>
      <c r="H45" s="30">
        <f>3032+2891.36+250.01</f>
        <v>6173.370000000001</v>
      </c>
      <c r="I45" s="30">
        <f>3032+250</f>
        <v>3282</v>
      </c>
      <c r="J45" s="29">
        <v>3294.01</v>
      </c>
      <c r="K45" s="29">
        <v>6787.01</v>
      </c>
      <c r="L45" s="30">
        <v>11413.32</v>
      </c>
      <c r="M45" s="30">
        <f>3032+2200+275.01</f>
        <v>5507.01</v>
      </c>
      <c r="N45" s="30">
        <f>3687.29+2200+275+300+0.01+500</f>
        <v>6962.3</v>
      </c>
      <c r="O45" s="30">
        <f>400+0.01+300.01+500.01+3687.29+993.94+3177.28</f>
        <v>9058.54</v>
      </c>
      <c r="P45" s="29">
        <f>250+3032+2200+400+275+0.01</f>
        <v>6157.01</v>
      </c>
      <c r="Q45" s="35">
        <f>250+5879.36+3109.68+400+275+0.01</f>
        <v>9914.05</v>
      </c>
      <c r="R45" s="32">
        <f>275+250+400+5879.36+1500+3075.13+4177.08</f>
        <v>15556.570000000002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39"/>
      <c r="B46" s="19"/>
      <c r="C46" s="20"/>
      <c r="D46" s="20"/>
      <c r="E46" s="20"/>
      <c r="F46" s="20"/>
      <c r="G46" s="22"/>
      <c r="H46" s="22"/>
      <c r="I46" s="22"/>
      <c r="J46" s="20"/>
      <c r="K46" s="20"/>
      <c r="L46" s="22"/>
      <c r="M46" s="22"/>
      <c r="N46" s="22"/>
      <c r="O46" s="22"/>
      <c r="P46" s="20"/>
      <c r="Q46" s="20"/>
      <c r="R46" s="2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26" t="s">
        <v>60</v>
      </c>
      <c r="B47" s="14" t="s">
        <v>131</v>
      </c>
      <c r="C47" s="20"/>
      <c r="D47" s="20"/>
      <c r="E47" s="20"/>
      <c r="F47" s="20"/>
      <c r="G47" s="22"/>
      <c r="H47" s="22"/>
      <c r="I47" s="22"/>
      <c r="J47" s="20"/>
      <c r="K47" s="20"/>
      <c r="L47" s="22"/>
      <c r="M47" s="22"/>
      <c r="N47" s="22"/>
      <c r="O47" s="22"/>
      <c r="P47" s="20"/>
      <c r="Q47" s="20"/>
      <c r="R47" s="2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6"/>
      <c r="B48" s="19" t="s">
        <v>61</v>
      </c>
      <c r="C48" s="20">
        <v>226961</v>
      </c>
      <c r="D48" s="20">
        <v>46234</v>
      </c>
      <c r="E48" s="20">
        <v>26618</v>
      </c>
      <c r="F48" s="20">
        <v>28009</v>
      </c>
      <c r="G48" s="37">
        <v>33640</v>
      </c>
      <c r="H48" s="22">
        <v>82864.26</v>
      </c>
      <c r="I48" s="22">
        <v>81909.86</v>
      </c>
      <c r="J48" s="20">
        <v>61143.14</v>
      </c>
      <c r="K48" s="20">
        <v>69512.14</v>
      </c>
      <c r="L48" s="22">
        <v>69413.43</v>
      </c>
      <c r="M48" s="22">
        <v>81279.57</v>
      </c>
      <c r="N48" s="22">
        <v>73478.56</v>
      </c>
      <c r="O48" s="22">
        <f>5680.65+54033.22+7329.55+2931.23+907.73</f>
        <v>70882.37999999999</v>
      </c>
      <c r="P48" s="20">
        <v>87149.1</v>
      </c>
      <c r="Q48" s="20">
        <v>53981.48</v>
      </c>
      <c r="R48" s="27">
        <f>4872.91+37923.98+5221.99+3702.07+943.42</f>
        <v>52664.369999999995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6"/>
      <c r="B49" s="19" t="s">
        <v>62</v>
      </c>
      <c r="C49" s="20">
        <v>28541</v>
      </c>
      <c r="D49" s="20">
        <v>6428</v>
      </c>
      <c r="E49" s="20">
        <v>5358</v>
      </c>
      <c r="F49" s="20">
        <v>5657.32</v>
      </c>
      <c r="G49" s="37">
        <v>4142</v>
      </c>
      <c r="H49" s="22">
        <v>5382.21</v>
      </c>
      <c r="I49" s="22">
        <v>5607.63</v>
      </c>
      <c r="J49" s="20">
        <v>19054.83</v>
      </c>
      <c r="K49" s="20">
        <v>7859.34</v>
      </c>
      <c r="L49" s="22">
        <v>6666.84</v>
      </c>
      <c r="M49" s="22">
        <v>15055.63</v>
      </c>
      <c r="N49" s="22">
        <v>16959.08</v>
      </c>
      <c r="O49" s="22">
        <f>55.34+17354.25</f>
        <v>17409.59</v>
      </c>
      <c r="P49" s="20">
        <v>12130.01</v>
      </c>
      <c r="Q49" s="20">
        <v>16770.89</v>
      </c>
      <c r="R49" s="27">
        <f>31.17+15174.49</f>
        <v>15205.66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6"/>
      <c r="B50" s="19" t="s">
        <v>63</v>
      </c>
      <c r="C50" s="20">
        <v>19351</v>
      </c>
      <c r="D50" s="20">
        <v>3985</v>
      </c>
      <c r="E50" s="20">
        <v>3035</v>
      </c>
      <c r="F50" s="20">
        <v>2969.53</v>
      </c>
      <c r="G50" s="37">
        <v>3539</v>
      </c>
      <c r="H50" s="22">
        <v>3034.51</v>
      </c>
      <c r="I50" s="22">
        <v>3753.06</v>
      </c>
      <c r="J50" s="20">
        <v>5275.05</v>
      </c>
      <c r="K50" s="20">
        <v>4706.15</v>
      </c>
      <c r="L50" s="22">
        <v>4262.38</v>
      </c>
      <c r="M50" s="22">
        <v>7156.48</v>
      </c>
      <c r="N50" s="22">
        <v>6745.16</v>
      </c>
      <c r="O50" s="22">
        <v>5807.74</v>
      </c>
      <c r="P50" s="20">
        <v>6289.47</v>
      </c>
      <c r="Q50" s="20">
        <v>4758.88</v>
      </c>
      <c r="R50" s="27">
        <v>4416.33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6"/>
      <c r="B51" s="19" t="s">
        <v>64</v>
      </c>
      <c r="C51" s="20">
        <v>1935</v>
      </c>
      <c r="D51" s="20">
        <v>410</v>
      </c>
      <c r="E51" s="20">
        <v>395</v>
      </c>
      <c r="F51" s="20">
        <v>386.92</v>
      </c>
      <c r="G51" s="37">
        <v>404</v>
      </c>
      <c r="H51" s="22">
        <v>403.5</v>
      </c>
      <c r="I51" s="22">
        <v>405.04</v>
      </c>
      <c r="J51" s="20">
        <v>1004</v>
      </c>
      <c r="K51" s="20">
        <v>1004</v>
      </c>
      <c r="L51" s="22">
        <f>985.81+3.12</f>
        <v>988.93</v>
      </c>
      <c r="M51" s="22">
        <v>1015</v>
      </c>
      <c r="N51" s="22">
        <v>863.88</v>
      </c>
      <c r="O51" s="22">
        <f>725.43+11.89</f>
        <v>737.3199999999999</v>
      </c>
      <c r="P51" s="20">
        <v>1007</v>
      </c>
      <c r="Q51" s="20">
        <v>407.02</v>
      </c>
      <c r="R51" s="27">
        <f>315.75+0.31</f>
        <v>316.06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4" customFormat="1" ht="15" customHeight="1">
      <c r="A52" s="39"/>
      <c r="B52" s="28" t="s">
        <v>65</v>
      </c>
      <c r="C52" s="29">
        <f aca="true" t="shared" si="2" ref="C52:R52">SUM(C48:C51)</f>
        <v>276788</v>
      </c>
      <c r="D52" s="29">
        <f t="shared" si="2"/>
        <v>57057</v>
      </c>
      <c r="E52" s="29">
        <f t="shared" si="2"/>
        <v>35406</v>
      </c>
      <c r="F52" s="29">
        <f t="shared" si="2"/>
        <v>37022.77</v>
      </c>
      <c r="G52" s="30">
        <f t="shared" si="2"/>
        <v>41725</v>
      </c>
      <c r="H52" s="30">
        <f t="shared" si="2"/>
        <v>91684.48</v>
      </c>
      <c r="I52" s="30">
        <f t="shared" si="2"/>
        <v>91675.59</v>
      </c>
      <c r="J52" s="29">
        <f t="shared" si="2"/>
        <v>86477.02</v>
      </c>
      <c r="K52" s="29">
        <f t="shared" si="2"/>
        <v>83081.62999999999</v>
      </c>
      <c r="L52" s="30">
        <f t="shared" si="2"/>
        <v>81331.57999999999</v>
      </c>
      <c r="M52" s="30">
        <f t="shared" si="2"/>
        <v>104506.68000000001</v>
      </c>
      <c r="N52" s="30">
        <f t="shared" si="2"/>
        <v>98046.68000000001</v>
      </c>
      <c r="O52" s="30">
        <f t="shared" si="2"/>
        <v>94837.03</v>
      </c>
      <c r="P52" s="29">
        <f t="shared" si="2"/>
        <v>106575.58</v>
      </c>
      <c r="Q52" s="29">
        <f t="shared" si="2"/>
        <v>75918.27</v>
      </c>
      <c r="R52" s="32">
        <f t="shared" si="2"/>
        <v>72602.42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5" customHeight="1">
      <c r="A53" s="26"/>
      <c r="B53" s="19"/>
      <c r="C53" s="20"/>
      <c r="D53" s="20"/>
      <c r="E53" s="20"/>
      <c r="F53" s="35"/>
      <c r="G53" s="22"/>
      <c r="H53" s="22"/>
      <c r="I53" s="22"/>
      <c r="J53" s="20"/>
      <c r="K53" s="40"/>
      <c r="L53" s="22"/>
      <c r="M53" s="22"/>
      <c r="N53" s="22"/>
      <c r="O53" s="22"/>
      <c r="P53" s="20"/>
      <c r="Q53" s="20"/>
      <c r="R53" s="2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26" t="s">
        <v>66</v>
      </c>
      <c r="B54" s="14" t="s">
        <v>132</v>
      </c>
      <c r="C54" s="20"/>
      <c r="D54" s="20"/>
      <c r="E54" s="20"/>
      <c r="F54" s="20"/>
      <c r="G54" s="22"/>
      <c r="H54" s="22"/>
      <c r="I54" s="22"/>
      <c r="J54" s="20"/>
      <c r="K54" s="20"/>
      <c r="L54" s="22"/>
      <c r="M54" s="22"/>
      <c r="N54" s="22"/>
      <c r="O54" s="22"/>
      <c r="P54" s="20"/>
      <c r="Q54" s="20"/>
      <c r="R54" s="2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6"/>
      <c r="B55" s="19" t="s">
        <v>67</v>
      </c>
      <c r="C55" s="20">
        <v>667422</v>
      </c>
      <c r="D55" s="20">
        <v>111400</v>
      </c>
      <c r="E55" s="20">
        <v>128600</v>
      </c>
      <c r="F55" s="20">
        <v>122007.08</v>
      </c>
      <c r="G55" s="37">
        <v>118600</v>
      </c>
      <c r="H55" s="22">
        <v>165371</v>
      </c>
      <c r="I55" s="22">
        <v>210288.2</v>
      </c>
      <c r="J55" s="20">
        <v>181618</v>
      </c>
      <c r="K55" s="20">
        <v>187218</v>
      </c>
      <c r="L55" s="22">
        <v>198275</v>
      </c>
      <c r="M55" s="22">
        <v>190576</v>
      </c>
      <c r="N55" s="22">
        <v>221918</v>
      </c>
      <c r="O55" s="22">
        <v>219928</v>
      </c>
      <c r="P55" s="20">
        <v>199100</v>
      </c>
      <c r="Q55" s="20">
        <v>218500</v>
      </c>
      <c r="R55" s="27">
        <f>290695+758.43</f>
        <v>291453.43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6"/>
      <c r="B56" s="19" t="s">
        <v>68</v>
      </c>
      <c r="C56" s="20">
        <v>58652</v>
      </c>
      <c r="D56" s="20">
        <v>11391</v>
      </c>
      <c r="E56" s="20">
        <v>1816</v>
      </c>
      <c r="F56" s="20">
        <v>2031</v>
      </c>
      <c r="G56" s="37">
        <v>1907</v>
      </c>
      <c r="H56" s="22">
        <v>1407</v>
      </c>
      <c r="I56" s="22">
        <v>346</v>
      </c>
      <c r="J56" s="20">
        <v>9819.3</v>
      </c>
      <c r="K56" s="20">
        <v>1564.55</v>
      </c>
      <c r="L56" s="22">
        <v>1538.45</v>
      </c>
      <c r="M56" s="22">
        <v>9332.22</v>
      </c>
      <c r="N56" s="22">
        <v>349.72</v>
      </c>
      <c r="O56" s="22">
        <f>269.72+10</f>
        <v>279.72</v>
      </c>
      <c r="P56" s="20">
        <v>865.01</v>
      </c>
      <c r="Q56" s="20">
        <v>758.45</v>
      </c>
      <c r="R56" s="27">
        <v>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4" customFormat="1" ht="15" customHeight="1">
      <c r="A57" s="26"/>
      <c r="B57" s="28" t="s">
        <v>69</v>
      </c>
      <c r="C57" s="29">
        <f aca="true" t="shared" si="3" ref="C57:R57">SUM(C55:C56)</f>
        <v>726074</v>
      </c>
      <c r="D57" s="29">
        <f t="shared" si="3"/>
        <v>122791</v>
      </c>
      <c r="E57" s="29">
        <f t="shared" si="3"/>
        <v>130416</v>
      </c>
      <c r="F57" s="29">
        <f t="shared" si="3"/>
        <v>124038.08</v>
      </c>
      <c r="G57" s="38">
        <f t="shared" si="3"/>
        <v>120507</v>
      </c>
      <c r="H57" s="38">
        <f t="shared" si="3"/>
        <v>166778</v>
      </c>
      <c r="I57" s="38">
        <f t="shared" si="3"/>
        <v>210634.2</v>
      </c>
      <c r="J57" s="29">
        <f t="shared" si="3"/>
        <v>191437.3</v>
      </c>
      <c r="K57" s="29">
        <f t="shared" si="3"/>
        <v>188782.55</v>
      </c>
      <c r="L57" s="30">
        <f t="shared" si="3"/>
        <v>199813.45</v>
      </c>
      <c r="M57" s="30">
        <f t="shared" si="3"/>
        <v>199908.22</v>
      </c>
      <c r="N57" s="30">
        <f t="shared" si="3"/>
        <v>222267.72</v>
      </c>
      <c r="O57" s="30">
        <f t="shared" si="3"/>
        <v>220207.72</v>
      </c>
      <c r="P57" s="29">
        <f t="shared" si="3"/>
        <v>199965.01</v>
      </c>
      <c r="Q57" s="29">
        <f t="shared" si="3"/>
        <v>219258.45</v>
      </c>
      <c r="R57" s="32">
        <f t="shared" si="3"/>
        <v>291453.43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ht="15" customHeight="1">
      <c r="A58" s="26"/>
      <c r="B58" s="14"/>
      <c r="C58" s="20"/>
      <c r="D58" s="20"/>
      <c r="E58" s="20"/>
      <c r="F58" s="35"/>
      <c r="G58" s="22"/>
      <c r="H58" s="22"/>
      <c r="I58" s="22"/>
      <c r="J58" s="20"/>
      <c r="K58" s="41"/>
      <c r="L58" s="31"/>
      <c r="M58" s="22"/>
      <c r="N58" s="22"/>
      <c r="O58" s="31"/>
      <c r="P58" s="35"/>
      <c r="Q58" s="35"/>
      <c r="R58" s="4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26" t="s">
        <v>70</v>
      </c>
      <c r="B59" s="14" t="s">
        <v>133</v>
      </c>
      <c r="C59" s="20"/>
      <c r="D59" s="20"/>
      <c r="E59" s="20"/>
      <c r="F59" s="20"/>
      <c r="G59" s="22"/>
      <c r="H59" s="22"/>
      <c r="I59" s="22"/>
      <c r="J59" s="20"/>
      <c r="K59" s="20"/>
      <c r="L59" s="22"/>
      <c r="M59" s="22"/>
      <c r="N59" s="22"/>
      <c r="O59" s="22"/>
      <c r="P59" s="20"/>
      <c r="Q59" s="20"/>
      <c r="R59" s="2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6"/>
      <c r="B60" s="19" t="s">
        <v>71</v>
      </c>
      <c r="C60" s="20">
        <v>12304</v>
      </c>
      <c r="D60" s="20">
        <v>2469</v>
      </c>
      <c r="E60" s="20">
        <v>1007</v>
      </c>
      <c r="F60" s="20">
        <v>900.3</v>
      </c>
      <c r="G60" s="37">
        <v>1912</v>
      </c>
      <c r="H60" s="22">
        <v>2194.51</v>
      </c>
      <c r="I60" s="22">
        <v>1979.75</v>
      </c>
      <c r="J60" s="20">
        <v>1651.73</v>
      </c>
      <c r="K60" s="20">
        <v>1562.73</v>
      </c>
      <c r="L60" s="22">
        <v>1420.84</v>
      </c>
      <c r="M60" s="22">
        <v>1860.66</v>
      </c>
      <c r="N60" s="22">
        <v>4426.04</v>
      </c>
      <c r="O60" s="22">
        <f>1894.97+998.2+115+60+33+187</f>
        <v>3288.17</v>
      </c>
      <c r="P60" s="20">
        <v>2001</v>
      </c>
      <c r="Q60" s="20">
        <v>2677.5</v>
      </c>
      <c r="R60" s="27">
        <f>1676.57+595+100+60+125</f>
        <v>2556.5699999999997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6"/>
      <c r="B61" s="19" t="s">
        <v>72</v>
      </c>
      <c r="C61" s="20">
        <v>13450</v>
      </c>
      <c r="D61" s="20">
        <v>2865</v>
      </c>
      <c r="E61" s="20">
        <v>2205</v>
      </c>
      <c r="F61" s="20">
        <v>1783.37</v>
      </c>
      <c r="G61" s="37">
        <v>2082</v>
      </c>
      <c r="H61" s="22">
        <v>2050.01</v>
      </c>
      <c r="I61" s="22">
        <v>3316.83</v>
      </c>
      <c r="J61" s="43">
        <v>2340.51</v>
      </c>
      <c r="K61" s="43">
        <v>2365.51</v>
      </c>
      <c r="L61" s="22">
        <v>2433.5</v>
      </c>
      <c r="M61" s="22">
        <v>4096.28</v>
      </c>
      <c r="N61" s="22">
        <v>3695.12</v>
      </c>
      <c r="O61" s="22">
        <f>3585.83+235+76</f>
        <v>3896.83</v>
      </c>
      <c r="P61" s="20">
        <v>3600.03</v>
      </c>
      <c r="Q61" s="20">
        <v>4171.77</v>
      </c>
      <c r="R61" s="27">
        <f>4475.61+300+91</f>
        <v>4866.61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6"/>
      <c r="B62" s="19" t="s">
        <v>73</v>
      </c>
      <c r="C62" s="20">
        <v>69812</v>
      </c>
      <c r="D62" s="20">
        <v>24368</v>
      </c>
      <c r="E62" s="20">
        <v>5213</v>
      </c>
      <c r="F62" s="20">
        <v>5978.7</v>
      </c>
      <c r="G62" s="37">
        <v>3472</v>
      </c>
      <c r="H62" s="22">
        <v>3430.02</v>
      </c>
      <c r="I62" s="22">
        <v>3648.02</v>
      </c>
      <c r="J62" s="20">
        <v>4285.33</v>
      </c>
      <c r="K62" s="20">
        <v>2685.33</v>
      </c>
      <c r="L62" s="22">
        <v>2235.64</v>
      </c>
      <c r="M62" s="22">
        <v>4942.4</v>
      </c>
      <c r="N62" s="22">
        <v>5793.88</v>
      </c>
      <c r="O62" s="22">
        <v>5989.65</v>
      </c>
      <c r="P62" s="20">
        <v>14368.51</v>
      </c>
      <c r="Q62" s="20">
        <v>14276.33</v>
      </c>
      <c r="R62" s="27">
        <v>12499.53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4" customFormat="1" ht="15" customHeight="1">
      <c r="A63" s="26"/>
      <c r="B63" s="28" t="s">
        <v>74</v>
      </c>
      <c r="C63" s="29">
        <f aca="true" t="shared" si="4" ref="C63:R63">SUM(C60:C62)</f>
        <v>95566</v>
      </c>
      <c r="D63" s="29">
        <f t="shared" si="4"/>
        <v>29702</v>
      </c>
      <c r="E63" s="29">
        <f t="shared" si="4"/>
        <v>8425</v>
      </c>
      <c r="F63" s="29">
        <f t="shared" si="4"/>
        <v>8662.369999999999</v>
      </c>
      <c r="G63" s="30">
        <f t="shared" si="4"/>
        <v>7466</v>
      </c>
      <c r="H63" s="30">
        <f t="shared" si="4"/>
        <v>7674.540000000001</v>
      </c>
      <c r="I63" s="30">
        <f t="shared" si="4"/>
        <v>8944.6</v>
      </c>
      <c r="J63" s="29">
        <f t="shared" si="4"/>
        <v>8277.57</v>
      </c>
      <c r="K63" s="29">
        <f t="shared" si="4"/>
        <v>6613.57</v>
      </c>
      <c r="L63" s="30">
        <f t="shared" si="4"/>
        <v>6089.98</v>
      </c>
      <c r="M63" s="30">
        <f t="shared" si="4"/>
        <v>10899.34</v>
      </c>
      <c r="N63" s="30">
        <f t="shared" si="4"/>
        <v>13915.04</v>
      </c>
      <c r="O63" s="30">
        <f t="shared" si="4"/>
        <v>13174.65</v>
      </c>
      <c r="P63" s="29">
        <f t="shared" si="4"/>
        <v>19969.54</v>
      </c>
      <c r="Q63" s="35">
        <f t="shared" si="4"/>
        <v>21125.6</v>
      </c>
      <c r="R63" s="32">
        <f t="shared" si="4"/>
        <v>19922.71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ht="15" customHeight="1">
      <c r="A64" s="26"/>
      <c r="B64" s="14"/>
      <c r="C64" s="20"/>
      <c r="D64" s="20"/>
      <c r="E64" s="20"/>
      <c r="F64" s="35"/>
      <c r="G64" s="22"/>
      <c r="H64" s="22"/>
      <c r="I64" s="22"/>
      <c r="J64" s="20"/>
      <c r="K64" s="36"/>
      <c r="L64" s="22"/>
      <c r="M64" s="22"/>
      <c r="N64" s="22"/>
      <c r="O64" s="22"/>
      <c r="P64" s="20"/>
      <c r="Q64" s="20"/>
      <c r="R64" s="2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26" t="s">
        <v>75</v>
      </c>
      <c r="B65" s="14" t="s">
        <v>134</v>
      </c>
      <c r="C65" s="20"/>
      <c r="D65" s="20"/>
      <c r="E65" s="20"/>
      <c r="F65" s="20"/>
      <c r="G65" s="22"/>
      <c r="H65" s="22"/>
      <c r="I65" s="22"/>
      <c r="J65" s="20"/>
      <c r="K65" s="20"/>
      <c r="L65" s="22"/>
      <c r="M65" s="22"/>
      <c r="N65" s="22"/>
      <c r="O65" s="22"/>
      <c r="P65" s="20"/>
      <c r="Q65" s="20"/>
      <c r="R65" s="2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6"/>
      <c r="B66" s="19" t="s">
        <v>76</v>
      </c>
      <c r="C66" s="20">
        <v>0</v>
      </c>
      <c r="D66" s="20">
        <v>0</v>
      </c>
      <c r="E66" s="20">
        <v>0</v>
      </c>
      <c r="F66" s="20">
        <v>0</v>
      </c>
      <c r="G66" s="22">
        <v>0</v>
      </c>
      <c r="H66" s="22">
        <v>0</v>
      </c>
      <c r="I66" s="22">
        <v>0</v>
      </c>
      <c r="J66" s="20"/>
      <c r="K66" s="20">
        <v>0</v>
      </c>
      <c r="L66" s="22">
        <v>0</v>
      </c>
      <c r="M66" s="22">
        <v>0</v>
      </c>
      <c r="N66" s="22">
        <v>0</v>
      </c>
      <c r="O66" s="22">
        <v>0</v>
      </c>
      <c r="P66" s="20">
        <v>0</v>
      </c>
      <c r="Q66" s="20">
        <v>0</v>
      </c>
      <c r="R66" s="27">
        <v>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6"/>
      <c r="B67" s="19" t="s">
        <v>77</v>
      </c>
      <c r="C67" s="20">
        <v>0</v>
      </c>
      <c r="D67" s="20">
        <v>0</v>
      </c>
      <c r="E67" s="20">
        <v>0</v>
      </c>
      <c r="F67" s="20">
        <v>0</v>
      </c>
      <c r="G67" s="37">
        <v>0</v>
      </c>
      <c r="H67" s="22">
        <v>0</v>
      </c>
      <c r="I67" s="22">
        <v>0</v>
      </c>
      <c r="J67" s="20"/>
      <c r="K67" s="20">
        <v>0</v>
      </c>
      <c r="L67" s="22">
        <v>0</v>
      </c>
      <c r="M67" s="22">
        <v>0</v>
      </c>
      <c r="N67" s="22">
        <v>0</v>
      </c>
      <c r="O67" s="22">
        <v>0</v>
      </c>
      <c r="P67" s="20">
        <v>0</v>
      </c>
      <c r="Q67" s="20">
        <v>0</v>
      </c>
      <c r="R67" s="27">
        <v>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6"/>
      <c r="B68" s="19" t="s">
        <v>78</v>
      </c>
      <c r="C68" s="20">
        <v>229371</v>
      </c>
      <c r="D68" s="20">
        <v>44299</v>
      </c>
      <c r="E68" s="20">
        <v>32829</v>
      </c>
      <c r="F68" s="20">
        <v>39752.97</v>
      </c>
      <c r="G68" s="37">
        <v>29464</v>
      </c>
      <c r="H68" s="22">
        <v>25166.03</v>
      </c>
      <c r="I68" s="22">
        <v>17745.7</v>
      </c>
      <c r="J68" s="20">
        <v>35576.69</v>
      </c>
      <c r="K68" s="20">
        <v>42939.48</v>
      </c>
      <c r="L68" s="22">
        <v>30724.15</v>
      </c>
      <c r="M68" s="22">
        <v>59349.54</v>
      </c>
      <c r="N68" s="22">
        <v>52966</v>
      </c>
      <c r="O68" s="22">
        <v>50538.68</v>
      </c>
      <c r="P68" s="20">
        <v>62864.3</v>
      </c>
      <c r="Q68" s="20">
        <v>74322.31</v>
      </c>
      <c r="R68" s="27">
        <v>67630.9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6"/>
      <c r="B69" s="19" t="s">
        <v>79</v>
      </c>
      <c r="C69" s="20">
        <v>23116</v>
      </c>
      <c r="D69" s="20">
        <v>5393</v>
      </c>
      <c r="E69" s="20">
        <v>5195</v>
      </c>
      <c r="F69" s="20">
        <v>5049.92</v>
      </c>
      <c r="G69" s="37">
        <v>5325</v>
      </c>
      <c r="H69" s="22">
        <v>7415</v>
      </c>
      <c r="I69" s="22">
        <v>18370.25</v>
      </c>
      <c r="J69" s="20">
        <v>5602.5</v>
      </c>
      <c r="K69" s="20">
        <v>3902.5</v>
      </c>
      <c r="L69" s="22">
        <v>0</v>
      </c>
      <c r="M69" s="22">
        <v>5805</v>
      </c>
      <c r="N69" s="22">
        <v>6095</v>
      </c>
      <c r="O69" s="22">
        <f>6054+1580+55</f>
        <v>7689</v>
      </c>
      <c r="P69" s="20">
        <v>8730</v>
      </c>
      <c r="Q69" s="20">
        <v>8527</v>
      </c>
      <c r="R69" s="27">
        <v>5206.06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6"/>
      <c r="B70" s="19" t="s">
        <v>80</v>
      </c>
      <c r="C70" s="20">
        <v>0</v>
      </c>
      <c r="D70" s="20">
        <v>0</v>
      </c>
      <c r="E70" s="20">
        <v>0</v>
      </c>
      <c r="F70" s="20">
        <v>0</v>
      </c>
      <c r="G70" s="37">
        <v>0</v>
      </c>
      <c r="H70" s="22">
        <v>0</v>
      </c>
      <c r="I70" s="22">
        <v>0</v>
      </c>
      <c r="J70" s="20"/>
      <c r="K70" s="20"/>
      <c r="L70" s="22">
        <v>0</v>
      </c>
      <c r="M70" s="22">
        <v>0</v>
      </c>
      <c r="N70" s="22">
        <v>0</v>
      </c>
      <c r="O70" s="22">
        <v>0</v>
      </c>
      <c r="P70" s="20">
        <v>0</v>
      </c>
      <c r="Q70" s="20">
        <v>0</v>
      </c>
      <c r="R70" s="27"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6"/>
      <c r="B71" s="19" t="s">
        <v>81</v>
      </c>
      <c r="C71" s="20">
        <v>51492</v>
      </c>
      <c r="D71" s="20">
        <v>10000</v>
      </c>
      <c r="E71" s="20">
        <v>10000</v>
      </c>
      <c r="F71" s="20">
        <v>16592.72</v>
      </c>
      <c r="G71" s="37">
        <v>11000</v>
      </c>
      <c r="H71" s="22">
        <v>0</v>
      </c>
      <c r="I71" s="22">
        <v>14118.64</v>
      </c>
      <c r="J71" s="20">
        <v>12000</v>
      </c>
      <c r="K71" s="20">
        <v>8000</v>
      </c>
      <c r="L71" s="22">
        <f>3535.5+3175+52.5+8663.37</f>
        <v>15426.37</v>
      </c>
      <c r="M71" s="22">
        <v>13000</v>
      </c>
      <c r="N71" s="22">
        <v>8000</v>
      </c>
      <c r="O71" s="22">
        <v>8697.53</v>
      </c>
      <c r="P71" s="20">
        <v>14000</v>
      </c>
      <c r="Q71" s="20">
        <v>14000</v>
      </c>
      <c r="R71" s="27">
        <f>666+40.42+12513.75</f>
        <v>13220.17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4" customFormat="1" ht="15" customHeight="1">
      <c r="A72" s="26"/>
      <c r="B72" s="28" t="s">
        <v>82</v>
      </c>
      <c r="C72" s="29">
        <f aca="true" t="shared" si="5" ref="C72:K72">SUM(C66:C71)</f>
        <v>303979</v>
      </c>
      <c r="D72" s="29">
        <f t="shared" si="5"/>
        <v>59692</v>
      </c>
      <c r="E72" s="29">
        <f t="shared" si="5"/>
        <v>48024</v>
      </c>
      <c r="F72" s="29">
        <f t="shared" si="5"/>
        <v>61395.61</v>
      </c>
      <c r="G72" s="30">
        <f t="shared" si="5"/>
        <v>45789</v>
      </c>
      <c r="H72" s="30">
        <f t="shared" si="5"/>
        <v>32581.03</v>
      </c>
      <c r="I72" s="30">
        <f t="shared" si="5"/>
        <v>50234.59</v>
      </c>
      <c r="J72" s="29">
        <f t="shared" si="5"/>
        <v>53179.19</v>
      </c>
      <c r="K72" s="29">
        <f t="shared" si="5"/>
        <v>54841.98</v>
      </c>
      <c r="L72" s="30">
        <f>SUM(L68:L71)</f>
        <v>46150.520000000004</v>
      </c>
      <c r="M72" s="30">
        <f>SUM(M66:M71)</f>
        <v>78154.54000000001</v>
      </c>
      <c r="N72" s="30">
        <f>SUM(N66:N71)</f>
        <v>67061</v>
      </c>
      <c r="O72" s="30">
        <f>SUM(O68:O71)</f>
        <v>66925.21</v>
      </c>
      <c r="P72" s="29">
        <f>SUM(P66:P71)</f>
        <v>85594.3</v>
      </c>
      <c r="Q72" s="35">
        <f>SUM(Q66:Q71)</f>
        <v>96849.31</v>
      </c>
      <c r="R72" s="32">
        <f>SUM(R68:R71)</f>
        <v>86057.12999999999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15" customHeight="1">
      <c r="A73" s="26"/>
      <c r="B73" s="14"/>
      <c r="C73" s="20"/>
      <c r="D73" s="20"/>
      <c r="E73" s="20"/>
      <c r="F73" s="35"/>
      <c r="G73" s="22"/>
      <c r="H73" s="22"/>
      <c r="I73" s="22"/>
      <c r="J73" s="20"/>
      <c r="K73" s="36"/>
      <c r="L73" s="44"/>
      <c r="M73" s="22"/>
      <c r="N73" s="22"/>
      <c r="O73" s="44"/>
      <c r="P73" s="20"/>
      <c r="Q73" s="20"/>
      <c r="R73" s="45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26" t="s">
        <v>83</v>
      </c>
      <c r="B74" s="14" t="s">
        <v>135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30">
        <v>1570.06</v>
      </c>
      <c r="M74" s="29">
        <v>0</v>
      </c>
      <c r="N74" s="29">
        <f>3950.08+50</f>
        <v>4000.08</v>
      </c>
      <c r="O74" s="30">
        <v>0</v>
      </c>
      <c r="P74" s="29">
        <v>5050.01</v>
      </c>
      <c r="Q74" s="35">
        <v>0</v>
      </c>
      <c r="R74" s="32"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6"/>
      <c r="B75" s="14"/>
      <c r="C75" s="20"/>
      <c r="D75" s="20"/>
      <c r="E75" s="20"/>
      <c r="F75" s="35"/>
      <c r="G75" s="22"/>
      <c r="H75" s="22"/>
      <c r="I75" s="22"/>
      <c r="J75" s="20"/>
      <c r="K75" s="20"/>
      <c r="L75" s="22"/>
      <c r="M75" s="22"/>
      <c r="N75" s="22"/>
      <c r="O75" s="22"/>
      <c r="P75" s="20"/>
      <c r="Q75" s="20"/>
      <c r="R75" s="2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46" t="s">
        <v>84</v>
      </c>
      <c r="B76" s="14" t="s">
        <v>136</v>
      </c>
      <c r="C76" s="20"/>
      <c r="D76" s="20"/>
      <c r="E76" s="20"/>
      <c r="F76" s="20"/>
      <c r="G76" s="22"/>
      <c r="H76" s="22"/>
      <c r="I76" s="22"/>
      <c r="J76" s="20"/>
      <c r="K76" s="20"/>
      <c r="L76" s="31"/>
      <c r="M76" s="22"/>
      <c r="N76" s="22"/>
      <c r="O76" s="31"/>
      <c r="P76" s="35"/>
      <c r="Q76" s="35"/>
      <c r="R76" s="4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26"/>
      <c r="B77" s="19" t="s">
        <v>85</v>
      </c>
      <c r="C77" s="20">
        <v>753</v>
      </c>
      <c r="D77" s="20">
        <v>215</v>
      </c>
      <c r="E77" s="20">
        <v>65</v>
      </c>
      <c r="F77" s="20">
        <v>95.58</v>
      </c>
      <c r="G77" s="37">
        <v>77</v>
      </c>
      <c r="H77" s="22">
        <v>77</v>
      </c>
      <c r="I77" s="22">
        <v>64.34</v>
      </c>
      <c r="J77" s="20">
        <v>90</v>
      </c>
      <c r="K77" s="20">
        <v>190</v>
      </c>
      <c r="L77" s="22">
        <v>185.99</v>
      </c>
      <c r="M77" s="22">
        <v>285</v>
      </c>
      <c r="N77" s="22">
        <v>254</v>
      </c>
      <c r="O77" s="22">
        <f>205.66+3136.56</f>
        <v>3342.22</v>
      </c>
      <c r="P77" s="20">
        <v>240</v>
      </c>
      <c r="Q77" s="20">
        <v>214.06</v>
      </c>
      <c r="R77" s="27">
        <v>99.26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6"/>
      <c r="B78" s="19" t="s">
        <v>86</v>
      </c>
      <c r="C78" s="20">
        <v>464</v>
      </c>
      <c r="D78" s="20">
        <v>52</v>
      </c>
      <c r="E78" s="20">
        <v>12</v>
      </c>
      <c r="F78" s="20">
        <v>1.28</v>
      </c>
      <c r="G78" s="37">
        <v>12</v>
      </c>
      <c r="H78" s="22">
        <v>12.21</v>
      </c>
      <c r="I78" s="22">
        <v>10.27</v>
      </c>
      <c r="J78" s="20">
        <v>12.21</v>
      </c>
      <c r="K78" s="20">
        <v>12.21</v>
      </c>
      <c r="L78" s="22">
        <v>11.98</v>
      </c>
      <c r="M78" s="22">
        <v>12.21</v>
      </c>
      <c r="N78" s="22">
        <v>34.72</v>
      </c>
      <c r="O78" s="22">
        <v>30.29</v>
      </c>
      <c r="P78" s="20">
        <v>12.21</v>
      </c>
      <c r="Q78" s="20">
        <v>12.02</v>
      </c>
      <c r="R78" s="27">
        <v>12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4" customFormat="1" ht="15" customHeight="1">
      <c r="A79" s="26"/>
      <c r="B79" s="28" t="s">
        <v>87</v>
      </c>
      <c r="C79" s="29">
        <f>SUM(C77:C78)</f>
        <v>1217</v>
      </c>
      <c r="D79" s="29">
        <f>SUM(D77:D78)</f>
        <v>267</v>
      </c>
      <c r="E79" s="29">
        <f>SUM(E77:E78)</f>
        <v>77</v>
      </c>
      <c r="F79" s="29">
        <f>SUM(F77:F78)</f>
        <v>96.86</v>
      </c>
      <c r="G79" s="30">
        <v>89</v>
      </c>
      <c r="H79" s="30">
        <v>89.21</v>
      </c>
      <c r="I79" s="30">
        <v>74.61</v>
      </c>
      <c r="J79" s="29">
        <f>SUM(J77:J78)</f>
        <v>102.21000000000001</v>
      </c>
      <c r="K79" s="29">
        <f>SUM(K77:K78)</f>
        <v>202.21</v>
      </c>
      <c r="L79" s="30">
        <f>SUM(L77:L78)</f>
        <v>197.97</v>
      </c>
      <c r="M79" s="30">
        <v>297.21</v>
      </c>
      <c r="N79" s="30">
        <f>SUM(N77:N78)</f>
        <v>288.72</v>
      </c>
      <c r="O79" s="30">
        <f>SUM(O77:O78)</f>
        <v>3372.5099999999998</v>
      </c>
      <c r="P79" s="29">
        <f>SUM(P77:P78)</f>
        <v>252.21</v>
      </c>
      <c r="Q79" s="35">
        <f>SUM(Q77:Q78)</f>
        <v>226.08</v>
      </c>
      <c r="R79" s="32">
        <f>SUM(R77:R78)</f>
        <v>111.26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1:34" ht="15" customHeight="1">
      <c r="A80" s="26"/>
      <c r="B80" s="14"/>
      <c r="C80" s="20"/>
      <c r="D80" s="20"/>
      <c r="E80" s="20"/>
      <c r="F80" s="35"/>
      <c r="G80" s="22"/>
      <c r="H80" s="22"/>
      <c r="I80" s="22"/>
      <c r="J80" s="20"/>
      <c r="K80" s="36"/>
      <c r="L80" s="31"/>
      <c r="M80" s="22"/>
      <c r="N80" s="22"/>
      <c r="O80" s="31"/>
      <c r="P80" s="35"/>
      <c r="Q80" s="35"/>
      <c r="R80" s="4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26" t="s">
        <v>88</v>
      </c>
      <c r="B81" s="14" t="s">
        <v>137</v>
      </c>
      <c r="C81" s="20"/>
      <c r="D81" s="20"/>
      <c r="E81" s="20"/>
      <c r="F81" s="20"/>
      <c r="G81" s="22"/>
      <c r="H81" s="22"/>
      <c r="I81" s="22"/>
      <c r="J81" s="20"/>
      <c r="K81" s="20"/>
      <c r="L81" s="22"/>
      <c r="M81" s="22"/>
      <c r="N81" s="22"/>
      <c r="O81" s="22"/>
      <c r="P81" s="20"/>
      <c r="Q81" s="20"/>
      <c r="R81" s="2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6"/>
      <c r="B82" s="19" t="s">
        <v>89</v>
      </c>
      <c r="C82" s="20">
        <v>43262</v>
      </c>
      <c r="D82" s="20">
        <v>5065</v>
      </c>
      <c r="E82" s="20">
        <v>735</v>
      </c>
      <c r="F82" s="20">
        <v>3495.21</v>
      </c>
      <c r="G82" s="37">
        <v>2551</v>
      </c>
      <c r="H82" s="22">
        <v>4030.83</v>
      </c>
      <c r="I82" s="22">
        <v>10310.76</v>
      </c>
      <c r="J82" s="20">
        <v>20159.65</v>
      </c>
      <c r="K82" s="20">
        <v>20237.42</v>
      </c>
      <c r="L82" s="22">
        <v>326.92</v>
      </c>
      <c r="M82" s="22">
        <v>21962.52</v>
      </c>
      <c r="N82" s="22">
        <v>11356.09</v>
      </c>
      <c r="O82" s="22">
        <v>2518.41</v>
      </c>
      <c r="P82" s="20">
        <v>12389.08</v>
      </c>
      <c r="Q82" s="20">
        <v>9486.32</v>
      </c>
      <c r="R82" s="27">
        <v>11680.45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6"/>
      <c r="B83" s="19" t="s">
        <v>90</v>
      </c>
      <c r="C83" s="20">
        <v>12658</v>
      </c>
      <c r="D83" s="20">
        <v>1950</v>
      </c>
      <c r="E83" s="20">
        <v>1251</v>
      </c>
      <c r="F83" s="20">
        <v>900.21</v>
      </c>
      <c r="G83" s="37">
        <v>1200</v>
      </c>
      <c r="H83" s="22">
        <v>1200.01</v>
      </c>
      <c r="I83" s="22">
        <v>1010.82</v>
      </c>
      <c r="J83" s="20">
        <v>2250.01</v>
      </c>
      <c r="K83" s="20">
        <v>1927.01</v>
      </c>
      <c r="L83" s="22">
        <v>2051.34</v>
      </c>
      <c r="M83" s="22">
        <v>2450.01</v>
      </c>
      <c r="N83" s="22">
        <v>3933.67</v>
      </c>
      <c r="O83" s="22">
        <v>3261.92</v>
      </c>
      <c r="P83" s="20">
        <v>3550.01</v>
      </c>
      <c r="Q83" s="20">
        <v>4706.74</v>
      </c>
      <c r="R83" s="27">
        <v>3405.82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6"/>
      <c r="B84" s="19" t="s">
        <v>91</v>
      </c>
      <c r="C84" s="20">
        <v>305</v>
      </c>
      <c r="D84" s="20">
        <v>53</v>
      </c>
      <c r="E84" s="20">
        <v>51</v>
      </c>
      <c r="F84" s="20">
        <v>46.58</v>
      </c>
      <c r="G84" s="37">
        <v>57</v>
      </c>
      <c r="H84" s="22">
        <v>56.55</v>
      </c>
      <c r="I84" s="22">
        <v>48.35</v>
      </c>
      <c r="J84" s="20">
        <v>61.81</v>
      </c>
      <c r="K84" s="20">
        <v>60.5</v>
      </c>
      <c r="L84" s="22">
        <v>50.72</v>
      </c>
      <c r="M84" s="22">
        <v>80.74</v>
      </c>
      <c r="N84" s="22">
        <v>75.64</v>
      </c>
      <c r="O84" s="22">
        <v>73.29</v>
      </c>
      <c r="P84" s="20">
        <v>81</v>
      </c>
      <c r="Q84" s="20">
        <v>69.55</v>
      </c>
      <c r="R84" s="27">
        <v>64.84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6"/>
      <c r="B85" s="19" t="s">
        <v>92</v>
      </c>
      <c r="C85" s="20">
        <v>164</v>
      </c>
      <c r="D85" s="20">
        <v>35</v>
      </c>
      <c r="E85" s="20">
        <v>80</v>
      </c>
      <c r="F85" s="20">
        <v>35.07</v>
      </c>
      <c r="G85" s="37">
        <v>701</v>
      </c>
      <c r="H85" s="22">
        <v>700.64</v>
      </c>
      <c r="I85" s="22">
        <v>596.72</v>
      </c>
      <c r="J85" s="20">
        <v>1049.08</v>
      </c>
      <c r="K85" s="20">
        <v>797.1</v>
      </c>
      <c r="L85" s="22">
        <v>628.28</v>
      </c>
      <c r="M85" s="22">
        <v>1329.15</v>
      </c>
      <c r="N85" s="22">
        <v>953.43</v>
      </c>
      <c r="O85" s="22">
        <v>762.27</v>
      </c>
      <c r="P85" s="20">
        <v>812.5</v>
      </c>
      <c r="Q85" s="20">
        <v>724.51</v>
      </c>
      <c r="R85" s="27">
        <v>588.51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6"/>
      <c r="B86" s="19" t="s">
        <v>138</v>
      </c>
      <c r="C86" s="20"/>
      <c r="D86" s="20"/>
      <c r="E86" s="20"/>
      <c r="F86" s="20"/>
      <c r="G86" s="37"/>
      <c r="H86" s="22"/>
      <c r="I86" s="22"/>
      <c r="J86" s="20"/>
      <c r="K86" s="20"/>
      <c r="L86" s="22"/>
      <c r="M86" s="22"/>
      <c r="N86" s="22"/>
      <c r="O86" s="22"/>
      <c r="P86" s="20"/>
      <c r="Q86" s="20"/>
      <c r="R86" s="2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6"/>
      <c r="B87" s="19" t="s">
        <v>93</v>
      </c>
      <c r="C87" s="20">
        <v>0</v>
      </c>
      <c r="D87" s="20">
        <v>0</v>
      </c>
      <c r="E87" s="20">
        <v>0</v>
      </c>
      <c r="F87" s="20">
        <v>0</v>
      </c>
      <c r="G87" s="37">
        <v>0</v>
      </c>
      <c r="H87" s="22">
        <v>0</v>
      </c>
      <c r="I87" s="22">
        <v>0</v>
      </c>
      <c r="J87" s="20"/>
      <c r="K87" s="20"/>
      <c r="L87" s="22">
        <v>0</v>
      </c>
      <c r="M87" s="22">
        <v>0</v>
      </c>
      <c r="N87" s="22">
        <v>0</v>
      </c>
      <c r="O87" s="22">
        <v>145</v>
      </c>
      <c r="P87" s="20">
        <v>0</v>
      </c>
      <c r="Q87" s="20">
        <v>0</v>
      </c>
      <c r="R87" s="27">
        <v>0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6"/>
      <c r="B88" s="47" t="s">
        <v>94</v>
      </c>
      <c r="C88" s="20">
        <v>176</v>
      </c>
      <c r="D88" s="20">
        <v>10</v>
      </c>
      <c r="E88" s="20">
        <v>0</v>
      </c>
      <c r="F88" s="20">
        <v>0</v>
      </c>
      <c r="G88" s="37">
        <v>19</v>
      </c>
      <c r="H88" s="22">
        <v>18.5</v>
      </c>
      <c r="I88" s="22">
        <v>18.5</v>
      </c>
      <c r="J88" s="20">
        <v>19</v>
      </c>
      <c r="K88" s="20">
        <v>19</v>
      </c>
      <c r="L88" s="22">
        <v>19</v>
      </c>
      <c r="M88" s="22">
        <v>21</v>
      </c>
      <c r="N88" s="22">
        <v>21</v>
      </c>
      <c r="O88" s="22">
        <v>21</v>
      </c>
      <c r="P88" s="20">
        <v>21</v>
      </c>
      <c r="Q88" s="20">
        <v>99.5</v>
      </c>
      <c r="R88" s="27">
        <v>94.2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6"/>
      <c r="B89" s="19" t="s">
        <v>95</v>
      </c>
      <c r="C89" s="20">
        <v>51424</v>
      </c>
      <c r="D89" s="20">
        <v>1770</v>
      </c>
      <c r="E89" s="20">
        <v>755</v>
      </c>
      <c r="F89" s="20">
        <v>17666.51</v>
      </c>
      <c r="G89" s="37">
        <v>1056</v>
      </c>
      <c r="H89" s="22">
        <v>856.01</v>
      </c>
      <c r="I89" s="22">
        <v>689.03</v>
      </c>
      <c r="J89" s="20">
        <f>0.01+93.1+0.01+2530</f>
        <v>2623.12</v>
      </c>
      <c r="K89" s="20">
        <f>0.01+93.1+0.01+2899</f>
        <v>2992.12</v>
      </c>
      <c r="L89" s="22">
        <v>13322.53</v>
      </c>
      <c r="M89" s="22">
        <v>4670.03</v>
      </c>
      <c r="N89" s="22">
        <f>0.01+45.01</f>
        <v>45.019999999999996</v>
      </c>
      <c r="O89" s="22">
        <v>9969.55</v>
      </c>
      <c r="P89" s="20">
        <f>0.01+45.01</f>
        <v>45.019999999999996</v>
      </c>
      <c r="Q89" s="20">
        <f>0.01+45.01+3500</f>
        <v>3545.02</v>
      </c>
      <c r="R89" s="27">
        <f>3538.14+45+9983.51</f>
        <v>13566.65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4" customFormat="1" ht="15" customHeight="1">
      <c r="A90" s="26"/>
      <c r="B90" s="14" t="s">
        <v>96</v>
      </c>
      <c r="C90" s="29">
        <f aca="true" t="shared" si="6" ref="C90:R90">SUM(C82:C89)</f>
        <v>107989</v>
      </c>
      <c r="D90" s="29">
        <f t="shared" si="6"/>
        <v>8883</v>
      </c>
      <c r="E90" s="29">
        <f t="shared" si="6"/>
        <v>2872</v>
      </c>
      <c r="F90" s="29">
        <f t="shared" si="6"/>
        <v>22143.579999999998</v>
      </c>
      <c r="G90" s="30">
        <f t="shared" si="6"/>
        <v>5584</v>
      </c>
      <c r="H90" s="30">
        <f t="shared" si="6"/>
        <v>6862.540000000001</v>
      </c>
      <c r="I90" s="30">
        <f t="shared" si="6"/>
        <v>12674.18</v>
      </c>
      <c r="J90" s="29">
        <f t="shared" si="6"/>
        <v>26162.670000000002</v>
      </c>
      <c r="K90" s="29">
        <f t="shared" si="6"/>
        <v>26033.149999999994</v>
      </c>
      <c r="L90" s="30">
        <f t="shared" si="6"/>
        <v>16398.79</v>
      </c>
      <c r="M90" s="30">
        <f t="shared" si="6"/>
        <v>30513.45</v>
      </c>
      <c r="N90" s="30">
        <f t="shared" si="6"/>
        <v>16384.85</v>
      </c>
      <c r="O90" s="30">
        <f t="shared" si="6"/>
        <v>16751.44</v>
      </c>
      <c r="P90" s="29">
        <f t="shared" si="6"/>
        <v>16898.61</v>
      </c>
      <c r="Q90" s="35">
        <f t="shared" si="6"/>
        <v>18631.64</v>
      </c>
      <c r="R90" s="32">
        <f t="shared" si="6"/>
        <v>29400.47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4" ht="15" customHeight="1">
      <c r="A91" s="26"/>
      <c r="B91" s="28"/>
      <c r="C91" s="20"/>
      <c r="D91" s="20"/>
      <c r="E91" s="20"/>
      <c r="F91" s="35"/>
      <c r="G91" s="22"/>
      <c r="H91" s="22"/>
      <c r="I91" s="22"/>
      <c r="J91" s="20"/>
      <c r="K91" s="36"/>
      <c r="L91" s="22"/>
      <c r="M91" s="22"/>
      <c r="N91" s="22"/>
      <c r="O91" s="22"/>
      <c r="P91" s="20"/>
      <c r="Q91" s="20"/>
      <c r="R91" s="2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26" t="s">
        <v>97</v>
      </c>
      <c r="B92" s="14" t="s">
        <v>139</v>
      </c>
      <c r="C92" s="20"/>
      <c r="D92" s="20"/>
      <c r="E92" s="20"/>
      <c r="F92" s="20"/>
      <c r="G92" s="22"/>
      <c r="H92" s="22"/>
      <c r="I92" s="22"/>
      <c r="J92" s="20"/>
      <c r="K92" s="20"/>
      <c r="L92" s="22"/>
      <c r="M92" s="22"/>
      <c r="N92" s="22"/>
      <c r="O92" s="22"/>
      <c r="P92" s="20"/>
      <c r="Q92" s="20"/>
      <c r="R92" s="27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6"/>
      <c r="B93" s="19" t="s">
        <v>98</v>
      </c>
      <c r="C93" s="20">
        <v>142726</v>
      </c>
      <c r="D93" s="20">
        <v>23678</v>
      </c>
      <c r="E93" s="20">
        <v>11717</v>
      </c>
      <c r="F93" s="20">
        <v>14141.99</v>
      </c>
      <c r="G93" s="37">
        <v>20855</v>
      </c>
      <c r="H93" s="22">
        <f>17561.54+3393.2+794.21</f>
        <v>21748.95</v>
      </c>
      <c r="I93" s="22">
        <v>24163.68</v>
      </c>
      <c r="J93" s="20">
        <v>44882.8</v>
      </c>
      <c r="K93" s="20">
        <v>41293.15</v>
      </c>
      <c r="L93" s="22">
        <v>38193.03</v>
      </c>
      <c r="M93" s="22">
        <f>41255.2+12502.18+1214.05</f>
        <v>54971.43</v>
      </c>
      <c r="N93" s="22">
        <f>45911.85+7911.44+2420.53+1188.5</f>
        <v>57432.32</v>
      </c>
      <c r="O93" s="22">
        <f>43955.64+7444.51+2187.7+890.6+9.42+92.9</f>
        <v>54580.77</v>
      </c>
      <c r="P93" s="20">
        <f>49894.55+15072.55+1657+1317</f>
        <v>67941.1</v>
      </c>
      <c r="Q93" s="20">
        <f>39205.71+4858.85+2037.56+1211.23</f>
        <v>47313.35</v>
      </c>
      <c r="R93" s="27">
        <f>42284.42+4088.86+1931.43+920.81+7.38+171.36</f>
        <v>49404.259999999995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6"/>
      <c r="B94" s="19" t="s">
        <v>99</v>
      </c>
      <c r="C94" s="20">
        <v>4056</v>
      </c>
      <c r="D94" s="20">
        <v>733</v>
      </c>
      <c r="E94" s="20">
        <v>241</v>
      </c>
      <c r="F94" s="20">
        <v>224.95</v>
      </c>
      <c r="G94" s="37">
        <v>502</v>
      </c>
      <c r="H94" s="22">
        <v>361.2</v>
      </c>
      <c r="I94" s="22">
        <v>302.67</v>
      </c>
      <c r="J94" s="20">
        <v>513.31</v>
      </c>
      <c r="K94" s="20">
        <v>546.31</v>
      </c>
      <c r="L94" s="22">
        <v>478.76</v>
      </c>
      <c r="M94" s="22">
        <v>1101.51</v>
      </c>
      <c r="N94" s="22">
        <v>2461.52</v>
      </c>
      <c r="O94" s="22">
        <v>1974.06</v>
      </c>
      <c r="P94" s="20">
        <v>1456.51</v>
      </c>
      <c r="Q94" s="20">
        <v>2767.01</v>
      </c>
      <c r="R94" s="27">
        <v>1735.96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6"/>
      <c r="B95" s="19" t="s">
        <v>100</v>
      </c>
      <c r="C95" s="20">
        <v>514</v>
      </c>
      <c r="D95" s="20">
        <v>266</v>
      </c>
      <c r="E95" s="20">
        <v>115</v>
      </c>
      <c r="F95" s="20">
        <v>84.22</v>
      </c>
      <c r="G95" s="37">
        <v>130</v>
      </c>
      <c r="H95" s="22">
        <v>191.83</v>
      </c>
      <c r="I95" s="22">
        <v>212.74</v>
      </c>
      <c r="J95" s="20">
        <v>826.2</v>
      </c>
      <c r="K95" s="20">
        <v>787.7</v>
      </c>
      <c r="L95" s="22">
        <v>785.29</v>
      </c>
      <c r="M95" s="22">
        <v>533.21</v>
      </c>
      <c r="N95" s="22">
        <v>1026.39</v>
      </c>
      <c r="O95" s="22">
        <v>1006.55</v>
      </c>
      <c r="P95" s="20">
        <v>426</v>
      </c>
      <c r="Q95" s="20">
        <v>1696.19</v>
      </c>
      <c r="R95" s="27">
        <v>1563.36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6"/>
      <c r="B96" s="19" t="s">
        <v>101</v>
      </c>
      <c r="C96" s="20">
        <v>2187</v>
      </c>
      <c r="D96" s="20">
        <v>943</v>
      </c>
      <c r="E96" s="20">
        <v>492</v>
      </c>
      <c r="F96" s="20">
        <v>209.1</v>
      </c>
      <c r="G96" s="37">
        <v>511</v>
      </c>
      <c r="H96" s="22">
        <v>557.13</v>
      </c>
      <c r="I96" s="22">
        <v>439.27</v>
      </c>
      <c r="J96" s="20">
        <v>1595.59</v>
      </c>
      <c r="K96" s="20">
        <v>1421.67</v>
      </c>
      <c r="L96" s="22">
        <v>1387.54</v>
      </c>
      <c r="M96" s="22">
        <v>713.49</v>
      </c>
      <c r="N96" s="22">
        <v>532.85</v>
      </c>
      <c r="O96" s="22">
        <v>503.81</v>
      </c>
      <c r="P96" s="20">
        <v>1876.77</v>
      </c>
      <c r="Q96" s="20">
        <v>1449.05</v>
      </c>
      <c r="R96" s="27">
        <v>1064.8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4" customFormat="1" ht="15" customHeight="1">
      <c r="A97" s="26"/>
      <c r="B97" s="28" t="s">
        <v>102</v>
      </c>
      <c r="C97" s="29">
        <f>SUM(C93:C96)</f>
        <v>149483</v>
      </c>
      <c r="D97" s="29">
        <f>SUM(D93:D96)</f>
        <v>25620</v>
      </c>
      <c r="E97" s="29">
        <f>SUM(E93:E96)</f>
        <v>12565</v>
      </c>
      <c r="F97" s="29">
        <f>SUM(F93+F94+F95+F96)</f>
        <v>14660.26</v>
      </c>
      <c r="G97" s="30">
        <f>SUM(G93:G96)</f>
        <v>21998</v>
      </c>
      <c r="H97" s="30">
        <f>SUM(H93:H96)</f>
        <v>22859.110000000004</v>
      </c>
      <c r="I97" s="30">
        <f>SUM(I93:I96)</f>
        <v>25118.36</v>
      </c>
      <c r="J97" s="29">
        <f>J93+J94+J95+J96</f>
        <v>47817.899999999994</v>
      </c>
      <c r="K97" s="29">
        <f>K93+K94+K95+K96</f>
        <v>44048.829999999994</v>
      </c>
      <c r="L97" s="30">
        <f aca="true" t="shared" si="7" ref="L97:R97">SUM(L93:L96)</f>
        <v>40844.62</v>
      </c>
      <c r="M97" s="30">
        <f t="shared" si="7"/>
        <v>57319.64</v>
      </c>
      <c r="N97" s="30">
        <f t="shared" si="7"/>
        <v>61453.079999999994</v>
      </c>
      <c r="O97" s="30">
        <f t="shared" si="7"/>
        <v>58065.189999999995</v>
      </c>
      <c r="P97" s="29">
        <f t="shared" si="7"/>
        <v>71700.38</v>
      </c>
      <c r="Q97" s="35">
        <f t="shared" si="7"/>
        <v>53225.600000000006</v>
      </c>
      <c r="R97" s="32">
        <f t="shared" si="7"/>
        <v>53768.38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spans="1:34" ht="15" customHeight="1">
      <c r="A98" s="26"/>
      <c r="B98" s="19" t="s">
        <v>103</v>
      </c>
      <c r="C98" s="20">
        <v>56892</v>
      </c>
      <c r="D98" s="20">
        <v>12778</v>
      </c>
      <c r="E98" s="20">
        <v>5831</v>
      </c>
      <c r="F98" s="20">
        <v>4034.19</v>
      </c>
      <c r="G98" s="37">
        <v>8236</v>
      </c>
      <c r="H98" s="22">
        <v>7458.98</v>
      </c>
      <c r="I98" s="22">
        <v>5434.8</v>
      </c>
      <c r="J98" s="20">
        <v>10811.56</v>
      </c>
      <c r="K98" s="20">
        <v>10963.88</v>
      </c>
      <c r="L98" s="22">
        <v>9736.64</v>
      </c>
      <c r="M98" s="22">
        <f>1588.47+2761.94+1250+2761.83+668.6+62+393.5+35+5+9078.25+1</f>
        <v>18605.59</v>
      </c>
      <c r="N98" s="22">
        <f>2920.65+3581.46+1238.81+2761.83+1006.44+52+442.04+25+0.01+1203+44+5279.31+1</f>
        <v>18555.550000000003</v>
      </c>
      <c r="O98" s="22">
        <f>3402.02+1974.28+3760.79+15+782.49+37.31+388.82+30.94+58.57+1190.48+44+3700</f>
        <v>15384.699999999999</v>
      </c>
      <c r="P98" s="20">
        <f>3835.04+1860.59+3515+382.35+862.6+25+47+405.05+35+1073+30+8500+10+34.97</f>
        <v>20615.600000000002</v>
      </c>
      <c r="Q98" s="20">
        <f>3635.44+1773.68+5922.95+382.35+1057.66+22.51+47+405.05+35+1010.5+30+7500+0.01+0.01</f>
        <v>21822.159999999996</v>
      </c>
      <c r="R98" s="27">
        <f>3451.89+1511.12+5209.39+118.18+963.64+18.05+326.95+29.98+42.65+981.35+29.17+7172</f>
        <v>19854.370000000003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26"/>
      <c r="B99" s="19" t="s">
        <v>104</v>
      </c>
      <c r="C99" s="20">
        <v>108082</v>
      </c>
      <c r="D99" s="20">
        <v>29905</v>
      </c>
      <c r="E99" s="20">
        <v>26581</v>
      </c>
      <c r="F99" s="20">
        <v>23498.66</v>
      </c>
      <c r="G99" s="37">
        <v>26844</v>
      </c>
      <c r="H99" s="22">
        <v>24653.17</v>
      </c>
      <c r="I99" s="22">
        <v>26074.1</v>
      </c>
      <c r="J99" s="20">
        <v>48291.39</v>
      </c>
      <c r="K99" s="20">
        <v>36816.7</v>
      </c>
      <c r="L99" s="22">
        <v>35980.09</v>
      </c>
      <c r="M99" s="22">
        <v>54455.87</v>
      </c>
      <c r="N99" s="22">
        <v>42355.59</v>
      </c>
      <c r="O99" s="22">
        <f>15535.56+24643.75+50+52.08</f>
        <v>40281.39</v>
      </c>
      <c r="P99" s="20">
        <v>64767.3</v>
      </c>
      <c r="Q99" s="20">
        <v>47626.23</v>
      </c>
      <c r="R99" s="27">
        <f>19228.43+27028.09+52.29</f>
        <v>46308.810000000005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6"/>
      <c r="B100" s="19" t="s">
        <v>105</v>
      </c>
      <c r="C100" s="20">
        <v>63923</v>
      </c>
      <c r="D100" s="20">
        <v>14109</v>
      </c>
      <c r="E100" s="20">
        <v>14284</v>
      </c>
      <c r="F100" s="20">
        <v>8979.56</v>
      </c>
      <c r="G100" s="37">
        <v>14513</v>
      </c>
      <c r="H100" s="22">
        <v>14021.05</v>
      </c>
      <c r="I100" s="22">
        <v>9340.42</v>
      </c>
      <c r="J100" s="20">
        <v>14499.9</v>
      </c>
      <c r="K100" s="20">
        <v>9799.9</v>
      </c>
      <c r="L100" s="22">
        <v>10946.05</v>
      </c>
      <c r="M100" s="22">
        <v>14870.54</v>
      </c>
      <c r="N100" s="22">
        <v>11074.24</v>
      </c>
      <c r="O100" s="22">
        <f>217.9+317.12+11979+77.52</f>
        <v>12591.54</v>
      </c>
      <c r="P100" s="20">
        <v>13650.02</v>
      </c>
      <c r="Q100" s="20">
        <v>13894.95</v>
      </c>
      <c r="R100" s="27">
        <f>360.11+376.36+17250.2+8.2</f>
        <v>17994.870000000003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6"/>
      <c r="B101" s="19" t="s">
        <v>106</v>
      </c>
      <c r="C101" s="20"/>
      <c r="D101" s="20"/>
      <c r="E101" s="20"/>
      <c r="F101" s="20">
        <v>0</v>
      </c>
      <c r="G101" s="22">
        <v>0</v>
      </c>
      <c r="H101" s="22">
        <v>1404.6</v>
      </c>
      <c r="I101" s="22">
        <v>1418.37</v>
      </c>
      <c r="J101" s="20">
        <v>1100</v>
      </c>
      <c r="K101" s="20">
        <v>1625.36</v>
      </c>
      <c r="L101" s="22">
        <v>1625.36</v>
      </c>
      <c r="M101" s="22">
        <v>0</v>
      </c>
      <c r="N101" s="22">
        <v>0</v>
      </c>
      <c r="O101" s="22">
        <v>2042.55</v>
      </c>
      <c r="P101" s="20">
        <v>1707</v>
      </c>
      <c r="Q101" s="20">
        <v>3116.42</v>
      </c>
      <c r="R101" s="27">
        <v>0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6"/>
      <c r="B102" s="19" t="s">
        <v>107</v>
      </c>
      <c r="C102" s="20">
        <v>330217</v>
      </c>
      <c r="D102" s="20">
        <v>55423</v>
      </c>
      <c r="E102" s="20">
        <v>63770</v>
      </c>
      <c r="F102" s="20">
        <v>58254.41</v>
      </c>
      <c r="G102" s="37">
        <v>63889</v>
      </c>
      <c r="H102" s="22">
        <v>72014.14</v>
      </c>
      <c r="I102" s="22">
        <v>71987.6</v>
      </c>
      <c r="J102" s="20"/>
      <c r="K102" s="20"/>
      <c r="L102" s="22">
        <v>86614.21</v>
      </c>
      <c r="M102" s="22">
        <v>101533.5</v>
      </c>
      <c r="N102" s="22">
        <v>87046.06</v>
      </c>
      <c r="O102" s="22">
        <v>79244.06</v>
      </c>
      <c r="P102" s="20">
        <v>109977.98</v>
      </c>
      <c r="Q102" s="20">
        <v>98865.38</v>
      </c>
      <c r="R102" s="27">
        <v>95033.67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6"/>
      <c r="B103" s="48" t="s">
        <v>108</v>
      </c>
      <c r="C103" s="20"/>
      <c r="D103" s="20"/>
      <c r="E103" s="20"/>
      <c r="F103" s="20"/>
      <c r="G103" s="22"/>
      <c r="H103" s="22"/>
      <c r="I103" s="22"/>
      <c r="J103" s="20">
        <v>93940.45</v>
      </c>
      <c r="K103" s="20">
        <v>89074.7</v>
      </c>
      <c r="L103" s="22"/>
      <c r="M103" s="22">
        <v>0</v>
      </c>
      <c r="N103" s="22"/>
      <c r="O103" s="22"/>
      <c r="P103" s="20"/>
      <c r="Q103" s="20"/>
      <c r="R103" s="2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6"/>
      <c r="B104" s="19" t="s">
        <v>109</v>
      </c>
      <c r="C104" s="20">
        <v>236</v>
      </c>
      <c r="D104" s="20">
        <v>50</v>
      </c>
      <c r="E104" s="20">
        <v>9104</v>
      </c>
      <c r="F104" s="20">
        <v>20.47</v>
      </c>
      <c r="G104" s="37">
        <v>40</v>
      </c>
      <c r="H104" s="22">
        <v>20</v>
      </c>
      <c r="I104" s="22">
        <v>50.67</v>
      </c>
      <c r="J104" s="20">
        <v>42</v>
      </c>
      <c r="K104" s="20">
        <v>42</v>
      </c>
      <c r="L104" s="22">
        <v>38.78</v>
      </c>
      <c r="M104" s="22">
        <v>42</v>
      </c>
      <c r="N104" s="22">
        <v>36.1</v>
      </c>
      <c r="O104" s="22">
        <v>25.65</v>
      </c>
      <c r="P104" s="20">
        <v>19</v>
      </c>
      <c r="Q104" s="20">
        <v>20.4</v>
      </c>
      <c r="R104" s="27">
        <v>23.1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6"/>
      <c r="B105" s="19" t="s">
        <v>110</v>
      </c>
      <c r="C105" s="20">
        <v>31204</v>
      </c>
      <c r="D105" s="20">
        <v>7513</v>
      </c>
      <c r="E105" s="20">
        <v>36</v>
      </c>
      <c r="F105" s="20">
        <v>9091.23</v>
      </c>
      <c r="G105" s="37">
        <v>8405</v>
      </c>
      <c r="H105" s="22">
        <v>10378.05</v>
      </c>
      <c r="I105" s="22">
        <v>11513.69</v>
      </c>
      <c r="J105" s="20">
        <v>14195.36</v>
      </c>
      <c r="K105" s="20">
        <v>12638.74</v>
      </c>
      <c r="L105" s="22">
        <v>3763.49</v>
      </c>
      <c r="M105" s="22">
        <v>16060.52</v>
      </c>
      <c r="N105" s="22">
        <v>16730.75</v>
      </c>
      <c r="O105" s="22">
        <f>4042.66+1191.71+293.89+7557.17</f>
        <v>13085.43</v>
      </c>
      <c r="P105" s="20">
        <v>15843.95</v>
      </c>
      <c r="Q105" s="20">
        <v>17574.75</v>
      </c>
      <c r="R105" s="27">
        <f>3234.2+1386.89+228.77</f>
        <v>4849.860000000001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6"/>
      <c r="B106" s="19" t="s">
        <v>111</v>
      </c>
      <c r="C106" s="20">
        <v>2600</v>
      </c>
      <c r="D106" s="20">
        <v>350</v>
      </c>
      <c r="E106" s="20">
        <v>109</v>
      </c>
      <c r="F106" s="20">
        <v>93.46</v>
      </c>
      <c r="G106" s="37">
        <v>142</v>
      </c>
      <c r="H106" s="22">
        <v>141.87</v>
      </c>
      <c r="I106" s="22">
        <v>117.95</v>
      </c>
      <c r="J106" s="20">
        <v>324.33</v>
      </c>
      <c r="K106" s="20">
        <v>296.18</v>
      </c>
      <c r="L106" s="22">
        <v>277.88</v>
      </c>
      <c r="M106" s="22">
        <f>85.73+1+90+115.5</f>
        <v>292.23</v>
      </c>
      <c r="N106" s="22">
        <f>1+76.54+1891.5+42.96+12+1.5</f>
        <v>2025.5</v>
      </c>
      <c r="O106" s="22">
        <f>726.69+63.46+12.52+11.97+0.9+1.44</f>
        <v>816.9800000000001</v>
      </c>
      <c r="P106" s="20">
        <f>1+35+600+25+10.95+10</f>
        <v>681.95</v>
      </c>
      <c r="Q106" s="20">
        <f>1.1+35+1600+80+10.95+0.01</f>
        <v>1727.06</v>
      </c>
      <c r="R106" s="27">
        <f>1602.58+34.78+70.4+10.53+1.1</f>
        <v>1719.3899999999999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6"/>
      <c r="B107" s="19" t="s">
        <v>112</v>
      </c>
      <c r="C107" s="20">
        <v>4204</v>
      </c>
      <c r="D107" s="20">
        <v>2066</v>
      </c>
      <c r="E107" s="20">
        <v>1941</v>
      </c>
      <c r="F107" s="20">
        <v>1155.08</v>
      </c>
      <c r="G107" s="37">
        <v>1298</v>
      </c>
      <c r="H107" s="22">
        <v>1883.2</v>
      </c>
      <c r="I107" s="22">
        <v>948.75</v>
      </c>
      <c r="J107" s="20">
        <v>1208.69</v>
      </c>
      <c r="K107" s="20">
        <v>3259.41</v>
      </c>
      <c r="L107" s="22">
        <f>3424.78+3038.17</f>
        <v>6462.950000000001</v>
      </c>
      <c r="M107" s="22">
        <f>93.03+241.13+667.23+833.18</f>
        <v>1834.57</v>
      </c>
      <c r="N107" s="22">
        <f>384.19+179.05+592.02+1247.17</f>
        <v>2402.4300000000003</v>
      </c>
      <c r="O107" s="22">
        <f>1301+587.95+282.26+413.29</f>
        <v>2584.5</v>
      </c>
      <c r="P107" s="20">
        <f>276+100.34+2018+556.2+369.14</f>
        <v>3319.68</v>
      </c>
      <c r="Q107" s="20">
        <f>182.07+71.97+7234.43+499.85+4130.49</f>
        <v>12118.810000000001</v>
      </c>
      <c r="R107" s="27">
        <f>6985.21+526.04+4398.96+502.6</f>
        <v>12412.81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6"/>
      <c r="B108" s="19" t="s">
        <v>113</v>
      </c>
      <c r="C108" s="20">
        <v>52836</v>
      </c>
      <c r="D108" s="20">
        <v>10719</v>
      </c>
      <c r="E108" s="20">
        <v>10506</v>
      </c>
      <c r="F108" s="20">
        <v>8835.08</v>
      </c>
      <c r="G108" s="37">
        <v>9906</v>
      </c>
      <c r="H108" s="22">
        <v>12179.79</v>
      </c>
      <c r="I108" s="22">
        <v>11932.25</v>
      </c>
      <c r="J108" s="20">
        <v>12251.53</v>
      </c>
      <c r="K108" s="20">
        <v>14251.53</v>
      </c>
      <c r="L108" s="22">
        <v>13146.11</v>
      </c>
      <c r="M108" s="22">
        <v>18082.11</v>
      </c>
      <c r="N108" s="22">
        <v>8350.61</v>
      </c>
      <c r="O108" s="22">
        <v>0</v>
      </c>
      <c r="P108" s="20">
        <v>13715.01</v>
      </c>
      <c r="Q108" s="20">
        <v>13220.01</v>
      </c>
      <c r="R108" s="27">
        <f>12567.07+104.87</f>
        <v>12671.94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6"/>
      <c r="B109" s="19" t="s">
        <v>114</v>
      </c>
      <c r="C109" s="20">
        <v>0</v>
      </c>
      <c r="D109" s="20">
        <v>0</v>
      </c>
      <c r="E109" s="20">
        <v>0</v>
      </c>
      <c r="F109" s="20">
        <v>0</v>
      </c>
      <c r="G109" s="37">
        <v>0</v>
      </c>
      <c r="H109" s="22">
        <v>0</v>
      </c>
      <c r="I109" s="22">
        <v>0</v>
      </c>
      <c r="J109" s="20">
        <v>10</v>
      </c>
      <c r="K109" s="20">
        <v>170</v>
      </c>
      <c r="L109" s="22">
        <v>150</v>
      </c>
      <c r="M109" s="22">
        <v>100</v>
      </c>
      <c r="N109" s="22">
        <v>200</v>
      </c>
      <c r="O109" s="22">
        <f>759.76+8249.65+250.59+101.36+137.36</f>
        <v>9498.720000000001</v>
      </c>
      <c r="P109" s="20">
        <v>100</v>
      </c>
      <c r="Q109" s="20">
        <v>0.01</v>
      </c>
      <c r="R109" s="27">
        <f>6839.06+689.47</f>
        <v>7528.530000000001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4" customFormat="1" ht="15" customHeight="1">
      <c r="A110" s="26"/>
      <c r="B110" s="28" t="s">
        <v>115</v>
      </c>
      <c r="C110" s="29">
        <f aca="true" t="shared" si="8" ref="C110:I110">SUM(C97:C109)</f>
        <v>799677</v>
      </c>
      <c r="D110" s="29">
        <f t="shared" si="8"/>
        <v>158533</v>
      </c>
      <c r="E110" s="29">
        <f t="shared" si="8"/>
        <v>144727</v>
      </c>
      <c r="F110" s="29">
        <f t="shared" si="8"/>
        <v>128622.40000000001</v>
      </c>
      <c r="G110" s="30">
        <f t="shared" si="8"/>
        <v>155271</v>
      </c>
      <c r="H110" s="30">
        <f t="shared" si="8"/>
        <v>167013.96</v>
      </c>
      <c r="I110" s="30">
        <f t="shared" si="8"/>
        <v>163936.96000000002</v>
      </c>
      <c r="J110" s="29">
        <f>J97+J98+J99+J100+J101+J103+J104+J105+J106+SUM(J107:J109)</f>
        <v>244493.11</v>
      </c>
      <c r="K110" s="29">
        <f aca="true" t="shared" si="9" ref="K110:R110">SUM(K97:K109)</f>
        <v>222987.22999999998</v>
      </c>
      <c r="L110" s="30">
        <f t="shared" si="9"/>
        <v>209586.18000000005</v>
      </c>
      <c r="M110" s="30">
        <f t="shared" si="9"/>
        <v>283196.57</v>
      </c>
      <c r="N110" s="30">
        <f t="shared" si="9"/>
        <v>250229.90999999997</v>
      </c>
      <c r="O110" s="30">
        <f t="shared" si="9"/>
        <v>233620.71</v>
      </c>
      <c r="P110" s="29">
        <f t="shared" si="9"/>
        <v>316097.87000000005</v>
      </c>
      <c r="Q110" s="29">
        <f t="shared" si="9"/>
        <v>283211.7800000001</v>
      </c>
      <c r="R110" s="32">
        <f t="shared" si="9"/>
        <v>272165.73000000004</v>
      </c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4" ht="15" customHeight="1">
      <c r="A111" s="26"/>
      <c r="B111" s="14"/>
      <c r="C111" s="20"/>
      <c r="D111" s="20"/>
      <c r="E111" s="20"/>
      <c r="F111" s="35"/>
      <c r="G111" s="22"/>
      <c r="H111" s="22"/>
      <c r="I111" s="22"/>
      <c r="J111" s="20"/>
      <c r="K111" s="36"/>
      <c r="L111" s="22"/>
      <c r="M111" s="22"/>
      <c r="N111" s="22"/>
      <c r="O111" s="22"/>
      <c r="P111" s="20"/>
      <c r="Q111" s="20"/>
      <c r="R111" s="2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26" t="s">
        <v>116</v>
      </c>
      <c r="B112" s="14" t="s">
        <v>140</v>
      </c>
      <c r="C112" s="20"/>
      <c r="D112" s="20"/>
      <c r="E112" s="20"/>
      <c r="F112" s="20"/>
      <c r="G112" s="22"/>
      <c r="H112" s="22"/>
      <c r="I112" s="22"/>
      <c r="J112" s="20"/>
      <c r="K112" s="20"/>
      <c r="L112" s="22"/>
      <c r="M112" s="22"/>
      <c r="N112" s="22"/>
      <c r="O112" s="22"/>
      <c r="P112" s="20"/>
      <c r="Q112" s="20"/>
      <c r="R112" s="2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6"/>
      <c r="B113" s="19" t="s">
        <v>117</v>
      </c>
      <c r="C113" s="20">
        <v>352</v>
      </c>
      <c r="D113" s="20">
        <v>200</v>
      </c>
      <c r="E113" s="20">
        <v>200</v>
      </c>
      <c r="F113" s="20">
        <v>233.54</v>
      </c>
      <c r="G113" s="37">
        <v>144</v>
      </c>
      <c r="H113" s="22">
        <v>153.17</v>
      </c>
      <c r="I113" s="22">
        <v>417.82</v>
      </c>
      <c r="J113" s="20">
        <v>72.53</v>
      </c>
      <c r="K113" s="20">
        <v>398.28</v>
      </c>
      <c r="L113" s="22">
        <v>373.79</v>
      </c>
      <c r="M113" s="22">
        <v>344.76</v>
      </c>
      <c r="N113" s="22">
        <v>670.5</v>
      </c>
      <c r="O113" s="22">
        <v>669.34</v>
      </c>
      <c r="P113" s="20">
        <v>644.75</v>
      </c>
      <c r="Q113" s="20">
        <v>644.75</v>
      </c>
      <c r="R113" s="27">
        <v>401.4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6"/>
      <c r="B114" s="19" t="s">
        <v>118</v>
      </c>
      <c r="C114" s="20">
        <v>0</v>
      </c>
      <c r="D114" s="20">
        <v>0</v>
      </c>
      <c r="E114" s="20">
        <v>0</v>
      </c>
      <c r="F114" s="20">
        <v>0</v>
      </c>
      <c r="G114" s="37">
        <v>0</v>
      </c>
      <c r="H114" s="22">
        <v>0</v>
      </c>
      <c r="I114" s="22">
        <v>0</v>
      </c>
      <c r="J114" s="20"/>
      <c r="K114" s="20">
        <v>0.01</v>
      </c>
      <c r="L114" s="22">
        <v>0</v>
      </c>
      <c r="M114" s="22">
        <v>0.01</v>
      </c>
      <c r="N114" s="22">
        <v>0.01</v>
      </c>
      <c r="O114" s="22">
        <v>0</v>
      </c>
      <c r="P114" s="20">
        <v>0.01</v>
      </c>
      <c r="Q114" s="20">
        <v>0.01</v>
      </c>
      <c r="R114" s="27">
        <v>0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6"/>
      <c r="B115" s="19" t="s">
        <v>119</v>
      </c>
      <c r="C115" s="20">
        <v>8326</v>
      </c>
      <c r="D115" s="20">
        <v>2970</v>
      </c>
      <c r="E115" s="20">
        <v>3806</v>
      </c>
      <c r="F115" s="20">
        <v>2015.84</v>
      </c>
      <c r="G115" s="37">
        <v>2397</v>
      </c>
      <c r="H115" s="22">
        <v>5191.17</v>
      </c>
      <c r="I115" s="22">
        <v>4089.73</v>
      </c>
      <c r="J115" s="20">
        <v>3608.82</v>
      </c>
      <c r="K115" s="20">
        <v>5210.75</v>
      </c>
      <c r="L115" s="22">
        <v>4177.39</v>
      </c>
      <c r="M115" s="22">
        <v>26048.81</v>
      </c>
      <c r="N115" s="22">
        <v>11726.55</v>
      </c>
      <c r="O115" s="22">
        <v>11129.12</v>
      </c>
      <c r="P115" s="20">
        <v>4699.91</v>
      </c>
      <c r="Q115" s="20">
        <v>6508.44</v>
      </c>
      <c r="R115" s="27">
        <v>0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6"/>
      <c r="B116" s="19" t="s">
        <v>141</v>
      </c>
      <c r="C116" s="20"/>
      <c r="D116" s="20"/>
      <c r="E116" s="20"/>
      <c r="F116" s="20"/>
      <c r="G116" s="37"/>
      <c r="H116" s="22"/>
      <c r="I116" s="22"/>
      <c r="J116" s="20"/>
      <c r="K116" s="20"/>
      <c r="L116" s="22"/>
      <c r="M116" s="22"/>
      <c r="N116" s="22"/>
      <c r="O116" s="22"/>
      <c r="P116" s="20"/>
      <c r="Q116" s="20"/>
      <c r="R116" s="2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6"/>
      <c r="B117" s="19" t="s">
        <v>120</v>
      </c>
      <c r="C117" s="20">
        <v>0</v>
      </c>
      <c r="D117" s="20">
        <v>0</v>
      </c>
      <c r="E117" s="20">
        <v>0</v>
      </c>
      <c r="F117" s="20">
        <v>0</v>
      </c>
      <c r="G117" s="37">
        <v>0</v>
      </c>
      <c r="H117" s="22">
        <v>0</v>
      </c>
      <c r="I117" s="22">
        <v>0</v>
      </c>
      <c r="J117" s="20">
        <f>0.01+16+391.59</f>
        <v>407.59999999999997</v>
      </c>
      <c r="K117" s="20"/>
      <c r="L117" s="22">
        <v>40.98</v>
      </c>
      <c r="M117" s="22">
        <v>0</v>
      </c>
      <c r="N117" s="22">
        <v>0</v>
      </c>
      <c r="O117" s="22">
        <v>161.75</v>
      </c>
      <c r="P117" s="20">
        <v>75</v>
      </c>
      <c r="Q117" s="20">
        <v>98.27</v>
      </c>
      <c r="R117" s="27">
        <f>11481.19+99.52</f>
        <v>11580.710000000001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6"/>
      <c r="B118" s="19" t="s">
        <v>121</v>
      </c>
      <c r="C118" s="20">
        <v>78</v>
      </c>
      <c r="D118" s="20">
        <v>17</v>
      </c>
      <c r="E118" s="20">
        <v>9</v>
      </c>
      <c r="F118" s="20">
        <v>10.19</v>
      </c>
      <c r="G118" s="37">
        <v>17</v>
      </c>
      <c r="H118" s="22">
        <v>17.25</v>
      </c>
      <c r="I118" s="22">
        <v>16.32</v>
      </c>
      <c r="J118" s="20"/>
      <c r="K118" s="20">
        <f>0.01+41+345.31</f>
        <v>386.32</v>
      </c>
      <c r="L118" s="22">
        <v>310.95</v>
      </c>
      <c r="M118" s="22">
        <v>68.14</v>
      </c>
      <c r="N118" s="22">
        <f>2+166.1+1.51</f>
        <v>169.60999999999999</v>
      </c>
      <c r="O118" s="22">
        <f>0.99+1.52</f>
        <v>2.51</v>
      </c>
      <c r="P118" s="20">
        <v>2</v>
      </c>
      <c r="Q118" s="20">
        <v>2</v>
      </c>
      <c r="R118" s="27">
        <v>0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4" customFormat="1" ht="15" customHeight="1">
      <c r="A119" s="26"/>
      <c r="B119" s="28" t="s">
        <v>122</v>
      </c>
      <c r="C119" s="29">
        <f aca="true" t="shared" si="10" ref="C119:R119">SUM(C113:C118)</f>
        <v>8756</v>
      </c>
      <c r="D119" s="29">
        <f t="shared" si="10"/>
        <v>3187</v>
      </c>
      <c r="E119" s="29">
        <f t="shared" si="10"/>
        <v>4015</v>
      </c>
      <c r="F119" s="29">
        <f t="shared" si="10"/>
        <v>2259.57</v>
      </c>
      <c r="G119" s="30">
        <f t="shared" si="10"/>
        <v>2558</v>
      </c>
      <c r="H119" s="30">
        <f t="shared" si="10"/>
        <v>5361.59</v>
      </c>
      <c r="I119" s="30">
        <f t="shared" si="10"/>
        <v>4523.87</v>
      </c>
      <c r="J119" s="29">
        <f t="shared" si="10"/>
        <v>4088.9500000000003</v>
      </c>
      <c r="K119" s="29">
        <f t="shared" si="10"/>
        <v>5995.36</v>
      </c>
      <c r="L119" s="30">
        <f t="shared" si="10"/>
        <v>4903.11</v>
      </c>
      <c r="M119" s="30">
        <f t="shared" si="10"/>
        <v>26461.72</v>
      </c>
      <c r="N119" s="30">
        <f t="shared" si="10"/>
        <v>12566.67</v>
      </c>
      <c r="O119" s="30">
        <f t="shared" si="10"/>
        <v>11962.720000000001</v>
      </c>
      <c r="P119" s="29">
        <f t="shared" si="10"/>
        <v>5421.67</v>
      </c>
      <c r="Q119" s="35">
        <f t="shared" si="10"/>
        <v>7253.47</v>
      </c>
      <c r="R119" s="32">
        <f t="shared" si="10"/>
        <v>11982.11</v>
      </c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spans="1:34" ht="15" customHeight="1">
      <c r="A120" s="26"/>
      <c r="B120" s="28"/>
      <c r="C120" s="29"/>
      <c r="D120" s="29"/>
      <c r="E120" s="29"/>
      <c r="F120" s="29"/>
      <c r="G120" s="30"/>
      <c r="H120" s="30"/>
      <c r="I120" s="30"/>
      <c r="J120" s="29"/>
      <c r="K120" s="49"/>
      <c r="L120" s="30"/>
      <c r="M120" s="30"/>
      <c r="N120" s="30"/>
      <c r="O120" s="30"/>
      <c r="P120" s="30"/>
      <c r="Q120" s="20"/>
      <c r="R120" s="45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4" customFormat="1" ht="15" customHeight="1" thickBot="1">
      <c r="A121" s="50"/>
      <c r="B121" s="51" t="s">
        <v>123</v>
      </c>
      <c r="C121" s="52">
        <f>SUM(C25+C43+C45+C52+C57+C63+C72+C74+C79+C90+C110+C119)</f>
        <v>2731800</v>
      </c>
      <c r="D121" s="52">
        <f>SUM(D25+D43+D45+D52+D57+D63+D72+D74+D79+D90+D110+D119)</f>
        <v>516000</v>
      </c>
      <c r="E121" s="52">
        <f>SUM(E25+E43+E45+E52+E57+E63+E72+E74+E79+E90+E110+E119)</f>
        <v>437078</v>
      </c>
      <c r="F121" s="53">
        <f>+F25+F43+F45+F52+F57+F63+F72+F74+F79+F90+F110+F119</f>
        <v>443107.19</v>
      </c>
      <c r="G121" s="52">
        <f>SUM(G25+G43+G45+G52+G57+G63+G72+G74+G79+G90+G110+G119)</f>
        <v>425799</v>
      </c>
      <c r="H121" s="52">
        <f>SUM(H25+H43+H45+H52+H57+H63+H72+H74+H79+H90+H110+H119)</f>
        <v>550451.9999999999</v>
      </c>
      <c r="I121" s="53">
        <f>+I25+I43+I45+I52+I57+I63+I72+I74+I79+I90+I110+I119</f>
        <v>604437.98</v>
      </c>
      <c r="J121" s="52">
        <f aca="true" t="shared" si="11" ref="J121:P121">SUM(J25+J43+J45+J52+J57+J63+J72+J74+J79+J90+J110+J119)</f>
        <v>679750</v>
      </c>
      <c r="K121" s="52">
        <f t="shared" si="11"/>
        <v>674247</v>
      </c>
      <c r="L121" s="53">
        <f t="shared" si="11"/>
        <v>659055.02</v>
      </c>
      <c r="M121" s="52">
        <f t="shared" si="11"/>
        <v>835000</v>
      </c>
      <c r="N121" s="52">
        <f t="shared" si="11"/>
        <v>799999.9999999999</v>
      </c>
      <c r="O121" s="52">
        <f t="shared" si="11"/>
        <v>769982.62</v>
      </c>
      <c r="P121" s="52">
        <f t="shared" si="11"/>
        <v>850142.0000000001</v>
      </c>
      <c r="Q121" s="54">
        <f>SUM(Q25,Q43,Q45,Q52,Q57,Q63,Q72,Q74,Q79,Q90,Q110,Q119)</f>
        <v>825000</v>
      </c>
      <c r="R121" s="54">
        <f>SUM(R25,R43,R45,R52,R57,R63,R72,R74,R79,R90,R110,R119)</f>
        <v>896931.32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spans="1:34" ht="15.75">
      <c r="A122" s="26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57"/>
      <c r="B123" s="58" t="s">
        <v>142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6"/>
    </row>
    <row r="124" spans="1:12" ht="15">
      <c r="A124" s="57"/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6"/>
    </row>
    <row r="125" spans="1:12" ht="15">
      <c r="A125" s="57"/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6"/>
    </row>
    <row r="126" spans="1:12" ht="15">
      <c r="A126" s="57"/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6"/>
    </row>
    <row r="127" spans="1:12" ht="15">
      <c r="A127" s="57"/>
      <c r="B127" s="60"/>
      <c r="C127" s="59"/>
      <c r="D127" s="59"/>
      <c r="E127" s="59"/>
      <c r="F127" s="59"/>
      <c r="G127" s="59"/>
      <c r="H127" s="59"/>
      <c r="I127" s="59"/>
      <c r="J127" s="59"/>
      <c r="K127" s="59"/>
      <c r="L127" s="56"/>
    </row>
    <row r="128" spans="1:12" ht="15">
      <c r="A128" s="57"/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6"/>
    </row>
    <row r="129" spans="1:12" ht="15">
      <c r="A129" s="57"/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1:12" ht="15">
      <c r="A130" s="57"/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</row>
    <row r="131" spans="1:12" ht="15">
      <c r="A131" s="57"/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</row>
    <row r="132" spans="1:12" ht="15">
      <c r="A132" s="57"/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</row>
    <row r="133" spans="1:12" ht="15">
      <c r="A133" s="57"/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59"/>
    </row>
    <row r="134" spans="1:12" ht="15">
      <c r="A134" s="57"/>
      <c r="B134" s="60"/>
      <c r="C134" s="59"/>
      <c r="D134" s="59"/>
      <c r="E134" s="59"/>
      <c r="F134" s="59"/>
      <c r="G134" s="59"/>
      <c r="H134" s="59"/>
      <c r="I134" s="59"/>
      <c r="J134" s="59"/>
      <c r="K134" s="59"/>
      <c r="L134" s="59"/>
    </row>
    <row r="135" spans="1:12" ht="15">
      <c r="A135" s="57"/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1:12" ht="15">
      <c r="A136" s="57"/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59"/>
    </row>
    <row r="137" spans="1:12" ht="15">
      <c r="A137" s="57"/>
      <c r="B137" s="60"/>
      <c r="C137" s="59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1:12" ht="15">
      <c r="A138" s="57"/>
      <c r="B138" s="60"/>
      <c r="C138" s="59"/>
      <c r="D138" s="59"/>
      <c r="E138" s="59"/>
      <c r="F138" s="59"/>
      <c r="G138" s="59"/>
      <c r="H138" s="59"/>
      <c r="I138" s="59"/>
      <c r="J138" s="59"/>
      <c r="K138" s="59"/>
      <c r="L138" s="59"/>
    </row>
    <row r="139" spans="1:12" ht="15">
      <c r="A139" s="57"/>
      <c r="B139" s="60"/>
      <c r="C139" s="59"/>
      <c r="D139" s="59"/>
      <c r="E139" s="59"/>
      <c r="F139" s="59"/>
      <c r="G139" s="59"/>
      <c r="H139" s="59"/>
      <c r="I139" s="59"/>
      <c r="J139" s="59"/>
      <c r="K139" s="59"/>
      <c r="L139" s="59"/>
    </row>
    <row r="140" spans="1:12" ht="15">
      <c r="A140" s="57"/>
      <c r="B140" s="60"/>
      <c r="C140" s="59"/>
      <c r="D140" s="59"/>
      <c r="E140" s="59"/>
      <c r="F140" s="59"/>
      <c r="G140" s="59"/>
      <c r="H140" s="59"/>
      <c r="I140" s="59"/>
      <c r="J140" s="59"/>
      <c r="K140" s="59"/>
      <c r="L140" s="59"/>
    </row>
    <row r="141" spans="1:12" ht="15">
      <c r="A141" s="57"/>
      <c r="B141" s="60"/>
      <c r="C141" s="59"/>
      <c r="D141" s="59"/>
      <c r="E141" s="59"/>
      <c r="F141" s="59"/>
      <c r="G141" s="59"/>
      <c r="H141" s="59"/>
      <c r="I141" s="59"/>
      <c r="J141" s="59"/>
      <c r="K141" s="59"/>
      <c r="L141" s="59"/>
    </row>
    <row r="142" spans="1:12" ht="15">
      <c r="A142" s="57"/>
      <c r="B142" s="60"/>
      <c r="C142" s="59"/>
      <c r="D142" s="59"/>
      <c r="E142" s="59"/>
      <c r="F142" s="59"/>
      <c r="G142" s="59"/>
      <c r="H142" s="59"/>
      <c r="I142" s="59"/>
      <c r="J142" s="59"/>
      <c r="K142" s="59"/>
      <c r="L142" s="59"/>
    </row>
    <row r="143" spans="1:12" ht="15">
      <c r="A143" s="57"/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</row>
    <row r="144" spans="1:12" ht="15">
      <c r="A144" s="57"/>
      <c r="B144" s="60"/>
      <c r="C144" s="59"/>
      <c r="D144" s="59"/>
      <c r="E144" s="59"/>
      <c r="F144" s="59"/>
      <c r="G144" s="59"/>
      <c r="H144" s="59"/>
      <c r="I144" s="59"/>
      <c r="J144" s="59"/>
      <c r="K144" s="59"/>
      <c r="L144" s="59"/>
    </row>
    <row r="145" spans="1:12" ht="15">
      <c r="A145" s="57"/>
      <c r="B145" s="60"/>
      <c r="C145" s="59"/>
      <c r="D145" s="59"/>
      <c r="E145" s="59"/>
      <c r="F145" s="59"/>
      <c r="G145" s="59"/>
      <c r="H145" s="59"/>
      <c r="I145" s="59"/>
      <c r="J145" s="59"/>
      <c r="K145" s="59"/>
      <c r="L145" s="59"/>
    </row>
    <row r="146" spans="1:12" ht="15">
      <c r="A146" s="57"/>
      <c r="B146" s="60"/>
      <c r="C146" s="59"/>
      <c r="D146" s="59"/>
      <c r="E146" s="59"/>
      <c r="F146" s="59"/>
      <c r="G146" s="59"/>
      <c r="H146" s="59"/>
      <c r="I146" s="59"/>
      <c r="J146" s="59"/>
      <c r="K146" s="59"/>
      <c r="L146" s="59"/>
    </row>
    <row r="147" spans="1:12" ht="15">
      <c r="A147" s="57"/>
      <c r="B147" s="60"/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1:12" ht="15">
      <c r="A148" s="57"/>
      <c r="B148" s="60"/>
      <c r="C148" s="59"/>
      <c r="D148" s="59"/>
      <c r="E148" s="59"/>
      <c r="F148" s="59"/>
      <c r="G148" s="59"/>
      <c r="H148" s="59"/>
      <c r="I148" s="59"/>
      <c r="J148" s="59"/>
      <c r="K148" s="59"/>
      <c r="L148" s="59"/>
    </row>
    <row r="149" spans="1:12" ht="15">
      <c r="A149" s="57"/>
      <c r="B149" s="60"/>
      <c r="C149" s="59"/>
      <c r="D149" s="59"/>
      <c r="E149" s="59"/>
      <c r="F149" s="59"/>
      <c r="G149" s="59"/>
      <c r="H149" s="59"/>
      <c r="I149" s="59"/>
      <c r="J149" s="59"/>
      <c r="K149" s="59"/>
      <c r="L149" s="59"/>
    </row>
    <row r="150" spans="1:12" ht="15">
      <c r="A150" s="57"/>
      <c r="B150" s="60"/>
      <c r="C150" s="59"/>
      <c r="D150" s="59"/>
      <c r="E150" s="59"/>
      <c r="F150" s="59"/>
      <c r="G150" s="59"/>
      <c r="H150" s="59"/>
      <c r="I150" s="59"/>
      <c r="J150" s="59"/>
      <c r="K150" s="59"/>
      <c r="L150" s="59"/>
    </row>
    <row r="151" spans="1:12" ht="15">
      <c r="A151" s="57"/>
      <c r="B151" s="60"/>
      <c r="C151" s="59"/>
      <c r="D151" s="59"/>
      <c r="E151" s="59"/>
      <c r="F151" s="59"/>
      <c r="G151" s="59"/>
      <c r="H151" s="59"/>
      <c r="I151" s="59"/>
      <c r="J151" s="59"/>
      <c r="K151" s="59"/>
      <c r="L151" s="59"/>
    </row>
    <row r="152" spans="1:12" ht="15">
      <c r="A152" s="57"/>
      <c r="B152" s="60"/>
      <c r="C152" s="59"/>
      <c r="D152" s="59"/>
      <c r="E152" s="59"/>
      <c r="F152" s="59"/>
      <c r="G152" s="59"/>
      <c r="H152" s="59"/>
      <c r="I152" s="59"/>
      <c r="J152" s="59"/>
      <c r="K152" s="59"/>
      <c r="L152" s="59"/>
    </row>
    <row r="153" spans="1:12" ht="15">
      <c r="A153" s="57"/>
      <c r="B153" s="60"/>
      <c r="C153" s="59"/>
      <c r="D153" s="59"/>
      <c r="E153" s="59"/>
      <c r="F153" s="59"/>
      <c r="G153" s="59"/>
      <c r="H153" s="59"/>
      <c r="I153" s="59"/>
      <c r="J153" s="59"/>
      <c r="K153" s="59"/>
      <c r="L153" s="59"/>
    </row>
    <row r="154" spans="1:12" ht="15">
      <c r="A154" s="57"/>
      <c r="B154" s="60"/>
      <c r="C154" s="59"/>
      <c r="D154" s="59"/>
      <c r="E154" s="59"/>
      <c r="F154" s="59"/>
      <c r="G154" s="59"/>
      <c r="H154" s="59"/>
      <c r="I154" s="59"/>
      <c r="J154" s="59"/>
      <c r="K154" s="59"/>
      <c r="L154" s="59"/>
    </row>
    <row r="155" spans="1:12" ht="15">
      <c r="A155" s="57"/>
      <c r="B155" s="60"/>
      <c r="C155" s="59"/>
      <c r="D155" s="59"/>
      <c r="E155" s="59"/>
      <c r="F155" s="59"/>
      <c r="G155" s="59"/>
      <c r="H155" s="59"/>
      <c r="I155" s="59"/>
      <c r="J155" s="59"/>
      <c r="K155" s="59"/>
      <c r="L155" s="59"/>
    </row>
    <row r="156" spans="1:12" ht="15">
      <c r="A156" s="57"/>
      <c r="B156" s="60"/>
      <c r="C156" s="59"/>
      <c r="D156" s="59"/>
      <c r="E156" s="59"/>
      <c r="F156" s="59"/>
      <c r="G156" s="59"/>
      <c r="H156" s="59"/>
      <c r="I156" s="59"/>
      <c r="J156" s="59"/>
      <c r="K156" s="59"/>
      <c r="L156" s="59"/>
    </row>
    <row r="157" spans="1:12" ht="15">
      <c r="A157" s="57"/>
      <c r="B157" s="60"/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1:12" ht="15">
      <c r="A158" s="57"/>
      <c r="B158" s="60"/>
      <c r="C158" s="59"/>
      <c r="D158" s="59"/>
      <c r="E158" s="59"/>
      <c r="F158" s="59"/>
      <c r="G158" s="59"/>
      <c r="H158" s="59"/>
      <c r="I158" s="59"/>
      <c r="J158" s="59"/>
      <c r="K158" s="59"/>
      <c r="L158" s="59"/>
    </row>
    <row r="159" spans="1:12" ht="15">
      <c r="A159" s="57"/>
      <c r="B159" s="60"/>
      <c r="C159" s="59"/>
      <c r="D159" s="59"/>
      <c r="E159" s="59"/>
      <c r="F159" s="59"/>
      <c r="G159" s="59"/>
      <c r="H159" s="59"/>
      <c r="I159" s="59"/>
      <c r="J159" s="59"/>
      <c r="K159" s="59"/>
      <c r="L159" s="59"/>
    </row>
    <row r="160" spans="1:12" ht="15">
      <c r="A160" s="57"/>
      <c r="B160" s="60"/>
      <c r="C160" s="59"/>
      <c r="D160" s="59"/>
      <c r="E160" s="59"/>
      <c r="F160" s="59"/>
      <c r="G160" s="59"/>
      <c r="H160" s="59"/>
      <c r="I160" s="59"/>
      <c r="J160" s="59"/>
      <c r="K160" s="59"/>
      <c r="L160" s="59"/>
    </row>
    <row r="161" spans="1:12" ht="15">
      <c r="A161" s="57"/>
      <c r="B161" s="60"/>
      <c r="C161" s="59"/>
      <c r="D161" s="59"/>
      <c r="E161" s="59"/>
      <c r="F161" s="59"/>
      <c r="G161" s="59"/>
      <c r="H161" s="59"/>
      <c r="I161" s="59"/>
      <c r="J161" s="59"/>
      <c r="K161" s="59"/>
      <c r="L161" s="59"/>
    </row>
    <row r="162" spans="1:12" ht="15">
      <c r="A162" s="57"/>
      <c r="B162" s="60"/>
      <c r="C162" s="59"/>
      <c r="D162" s="59"/>
      <c r="E162" s="59"/>
      <c r="F162" s="59"/>
      <c r="G162" s="59"/>
      <c r="H162" s="59"/>
      <c r="I162" s="59"/>
      <c r="J162" s="59"/>
      <c r="K162" s="59"/>
      <c r="L162" s="59"/>
    </row>
    <row r="163" spans="1:12" ht="15">
      <c r="A163" s="57"/>
      <c r="B163" s="60"/>
      <c r="C163" s="59"/>
      <c r="D163" s="59"/>
      <c r="E163" s="59"/>
      <c r="F163" s="59"/>
      <c r="G163" s="59"/>
      <c r="H163" s="59"/>
      <c r="I163" s="59"/>
      <c r="J163" s="59"/>
      <c r="K163" s="59"/>
      <c r="L163" s="59"/>
    </row>
    <row r="164" spans="1:12" ht="15">
      <c r="A164" s="57"/>
      <c r="B164" s="60"/>
      <c r="C164" s="59"/>
      <c r="D164" s="59"/>
      <c r="E164" s="59"/>
      <c r="F164" s="59"/>
      <c r="G164" s="59"/>
      <c r="H164" s="59"/>
      <c r="I164" s="59"/>
      <c r="J164" s="59"/>
      <c r="K164" s="59"/>
      <c r="L164" s="59"/>
    </row>
    <row r="165" spans="1:12" ht="15">
      <c r="A165" s="57"/>
      <c r="B165" s="60"/>
      <c r="C165" s="59"/>
      <c r="D165" s="59"/>
      <c r="E165" s="59"/>
      <c r="F165" s="59"/>
      <c r="G165" s="59"/>
      <c r="H165" s="59"/>
      <c r="I165" s="59"/>
      <c r="J165" s="59"/>
      <c r="K165" s="59"/>
      <c r="L165" s="59"/>
    </row>
    <row r="166" spans="1:12" ht="15">
      <c r="A166" s="57"/>
      <c r="B166" s="60"/>
      <c r="C166" s="59"/>
      <c r="D166" s="59"/>
      <c r="E166" s="59"/>
      <c r="F166" s="59"/>
      <c r="G166" s="59"/>
      <c r="H166" s="59"/>
      <c r="I166" s="59"/>
      <c r="J166" s="59"/>
      <c r="K166" s="59"/>
      <c r="L166" s="59"/>
    </row>
    <row r="167" spans="1:12" ht="15">
      <c r="A167" s="57"/>
      <c r="B167" s="60"/>
      <c r="C167" s="59"/>
      <c r="D167" s="59"/>
      <c r="E167" s="59"/>
      <c r="F167" s="59"/>
      <c r="G167" s="59"/>
      <c r="H167" s="59"/>
      <c r="I167" s="59"/>
      <c r="J167" s="59"/>
      <c r="K167" s="59"/>
      <c r="L167" s="59"/>
    </row>
    <row r="168" spans="1:12" ht="15">
      <c r="A168" s="57"/>
      <c r="B168" s="60"/>
      <c r="C168" s="59"/>
      <c r="D168" s="59"/>
      <c r="E168" s="59"/>
      <c r="F168" s="59"/>
      <c r="G168" s="59"/>
      <c r="H168" s="59"/>
      <c r="I168" s="59"/>
      <c r="J168" s="59"/>
      <c r="K168" s="59"/>
      <c r="L168" s="59"/>
    </row>
    <row r="169" spans="1:12" ht="15">
      <c r="A169" s="57"/>
      <c r="B169" s="60"/>
      <c r="C169" s="59"/>
      <c r="D169" s="59"/>
      <c r="E169" s="59"/>
      <c r="F169" s="59"/>
      <c r="G169" s="59"/>
      <c r="H169" s="59"/>
      <c r="I169" s="59"/>
      <c r="J169" s="59"/>
      <c r="K169" s="59"/>
      <c r="L169" s="59"/>
    </row>
    <row r="170" spans="1:12" ht="15">
      <c r="A170" s="57"/>
      <c r="B170" s="60"/>
      <c r="C170" s="59"/>
      <c r="D170" s="59"/>
      <c r="E170" s="59"/>
      <c r="F170" s="59"/>
      <c r="G170" s="59"/>
      <c r="H170" s="59"/>
      <c r="I170" s="59"/>
      <c r="J170" s="59"/>
      <c r="K170" s="59"/>
      <c r="L170" s="59"/>
    </row>
    <row r="171" spans="1:12" ht="15">
      <c r="A171" s="57"/>
      <c r="B171" s="60"/>
      <c r="C171" s="59"/>
      <c r="D171" s="59"/>
      <c r="E171" s="59"/>
      <c r="F171" s="59"/>
      <c r="G171" s="59"/>
      <c r="H171" s="59"/>
      <c r="I171" s="59"/>
      <c r="J171" s="59"/>
      <c r="K171" s="59"/>
      <c r="L171" s="59"/>
    </row>
    <row r="172" spans="1:12" ht="15">
      <c r="A172" s="57"/>
      <c r="B172" s="60"/>
      <c r="C172" s="59"/>
      <c r="D172" s="59"/>
      <c r="E172" s="59"/>
      <c r="F172" s="59"/>
      <c r="G172" s="59"/>
      <c r="H172" s="59"/>
      <c r="I172" s="59"/>
      <c r="J172" s="59"/>
      <c r="K172" s="59"/>
      <c r="L172" s="59"/>
    </row>
    <row r="173" spans="1:12" ht="15">
      <c r="A173" s="57"/>
      <c r="B173" s="60"/>
      <c r="C173" s="59"/>
      <c r="D173" s="59"/>
      <c r="E173" s="59"/>
      <c r="F173" s="59"/>
      <c r="G173" s="59"/>
      <c r="H173" s="59"/>
      <c r="I173" s="59"/>
      <c r="J173" s="59"/>
      <c r="K173" s="59"/>
      <c r="L173" s="59"/>
    </row>
    <row r="174" spans="1:12" ht="15">
      <c r="A174" s="57"/>
      <c r="B174" s="60"/>
      <c r="C174" s="59"/>
      <c r="D174" s="59"/>
      <c r="E174" s="59"/>
      <c r="F174" s="59"/>
      <c r="G174" s="59"/>
      <c r="H174" s="59"/>
      <c r="I174" s="59"/>
      <c r="J174" s="59"/>
      <c r="K174" s="59"/>
      <c r="L174" s="59"/>
    </row>
    <row r="175" spans="1:12" ht="15">
      <c r="A175" s="57"/>
      <c r="B175" s="60"/>
      <c r="C175" s="59"/>
      <c r="D175" s="59"/>
      <c r="E175" s="59"/>
      <c r="F175" s="59"/>
      <c r="G175" s="59"/>
      <c r="H175" s="59"/>
      <c r="I175" s="59"/>
      <c r="J175" s="59"/>
      <c r="K175" s="59"/>
      <c r="L175" s="59"/>
    </row>
    <row r="176" spans="1:12" ht="15">
      <c r="A176" s="57"/>
      <c r="B176" s="60"/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1:12" ht="15">
      <c r="A177" s="57"/>
      <c r="B177" s="60"/>
      <c r="C177" s="59"/>
      <c r="D177" s="59"/>
      <c r="E177" s="59"/>
      <c r="F177" s="59"/>
      <c r="G177" s="59"/>
      <c r="H177" s="59"/>
      <c r="I177" s="59"/>
      <c r="J177" s="59"/>
      <c r="K177" s="59"/>
      <c r="L177" s="59"/>
    </row>
    <row r="178" spans="1:12" ht="15">
      <c r="A178" s="57"/>
      <c r="B178" s="60"/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  <row r="179" spans="1:12" ht="15">
      <c r="A179" s="57"/>
      <c r="B179" s="60"/>
      <c r="C179" s="59"/>
      <c r="D179" s="59"/>
      <c r="E179" s="59"/>
      <c r="F179" s="59"/>
      <c r="G179" s="59"/>
      <c r="H179" s="59"/>
      <c r="I179" s="59"/>
      <c r="J179" s="59"/>
      <c r="K179" s="59"/>
      <c r="L179" s="59"/>
    </row>
    <row r="180" spans="1:12" ht="15">
      <c r="A180" s="57"/>
      <c r="B180" s="60"/>
      <c r="C180" s="59"/>
      <c r="D180" s="59"/>
      <c r="E180" s="59"/>
      <c r="F180" s="59"/>
      <c r="G180" s="59"/>
      <c r="H180" s="59"/>
      <c r="I180" s="59"/>
      <c r="J180" s="59"/>
      <c r="K180" s="59"/>
      <c r="L180" s="59"/>
    </row>
    <row r="181" spans="1:12" ht="15">
      <c r="A181" s="57"/>
      <c r="B181" s="60"/>
      <c r="C181" s="59"/>
      <c r="D181" s="59"/>
      <c r="E181" s="59"/>
      <c r="F181" s="59"/>
      <c r="G181" s="59"/>
      <c r="H181" s="59"/>
      <c r="I181" s="59"/>
      <c r="J181" s="59"/>
      <c r="K181" s="59"/>
      <c r="L181" s="59"/>
    </row>
    <row r="182" spans="1:12" ht="15">
      <c r="A182" s="57"/>
      <c r="B182" s="60"/>
      <c r="C182" s="59"/>
      <c r="D182" s="59"/>
      <c r="E182" s="59"/>
      <c r="F182" s="59"/>
      <c r="G182" s="59"/>
      <c r="H182" s="59"/>
      <c r="I182" s="59"/>
      <c r="J182" s="59"/>
      <c r="K182" s="59"/>
      <c r="L182" s="59"/>
    </row>
    <row r="183" spans="1:12" ht="15">
      <c r="A183" s="57"/>
      <c r="B183" s="60"/>
      <c r="C183" s="59"/>
      <c r="D183" s="59"/>
      <c r="E183" s="59"/>
      <c r="F183" s="59"/>
      <c r="G183" s="59"/>
      <c r="H183" s="59"/>
      <c r="I183" s="59"/>
      <c r="J183" s="59"/>
      <c r="K183" s="59"/>
      <c r="L183" s="59"/>
    </row>
    <row r="184" spans="1:12" ht="15">
      <c r="A184" s="57"/>
      <c r="B184" s="60"/>
      <c r="C184" s="59"/>
      <c r="D184" s="59"/>
      <c r="E184" s="59"/>
      <c r="F184" s="59"/>
      <c r="G184" s="59"/>
      <c r="H184" s="59"/>
      <c r="I184" s="59"/>
      <c r="J184" s="59"/>
      <c r="K184" s="59"/>
      <c r="L184" s="59"/>
    </row>
    <row r="185" spans="1:12" ht="15">
      <c r="A185" s="57"/>
      <c r="B185" s="60"/>
      <c r="C185" s="59"/>
      <c r="D185" s="59"/>
      <c r="E185" s="59"/>
      <c r="F185" s="59"/>
      <c r="G185" s="59"/>
      <c r="H185" s="59"/>
      <c r="I185" s="59"/>
      <c r="J185" s="59"/>
      <c r="K185" s="59"/>
      <c r="L185" s="59"/>
    </row>
    <row r="186" spans="1:12" ht="15">
      <c r="A186" s="57"/>
      <c r="B186" s="60"/>
      <c r="C186" s="59"/>
      <c r="D186" s="59"/>
      <c r="E186" s="59"/>
      <c r="F186" s="59"/>
      <c r="G186" s="59"/>
      <c r="H186" s="59"/>
      <c r="I186" s="59"/>
      <c r="J186" s="59"/>
      <c r="K186" s="59"/>
      <c r="L186" s="59"/>
    </row>
    <row r="187" spans="1:12" ht="15">
      <c r="A187" s="57"/>
      <c r="B187" s="60"/>
      <c r="C187" s="59"/>
      <c r="D187" s="59"/>
      <c r="E187" s="59"/>
      <c r="F187" s="59"/>
      <c r="G187" s="59"/>
      <c r="H187" s="59"/>
      <c r="I187" s="59"/>
      <c r="J187" s="59"/>
      <c r="K187" s="59"/>
      <c r="L187" s="59"/>
    </row>
    <row r="188" spans="1:12" ht="15">
      <c r="A188" s="57"/>
      <c r="B188" s="60"/>
      <c r="C188" s="59"/>
      <c r="D188" s="59"/>
      <c r="E188" s="59"/>
      <c r="F188" s="59"/>
      <c r="G188" s="59"/>
      <c r="H188" s="59"/>
      <c r="I188" s="59"/>
      <c r="J188" s="59"/>
      <c r="K188" s="59"/>
      <c r="L188" s="59"/>
    </row>
    <row r="189" spans="1:12" ht="15">
      <c r="A189" s="57"/>
      <c r="B189" s="60"/>
      <c r="C189" s="59"/>
      <c r="D189" s="59"/>
      <c r="E189" s="59"/>
      <c r="F189" s="59"/>
      <c r="G189" s="59"/>
      <c r="H189" s="59"/>
      <c r="I189" s="59"/>
      <c r="J189" s="59"/>
      <c r="K189" s="59"/>
      <c r="L189" s="59"/>
    </row>
    <row r="190" spans="1:12" ht="15">
      <c r="A190" s="57"/>
      <c r="B190" s="60"/>
      <c r="C190" s="59"/>
      <c r="D190" s="59"/>
      <c r="E190" s="59"/>
      <c r="F190" s="59"/>
      <c r="G190" s="59"/>
      <c r="H190" s="59"/>
      <c r="I190" s="59"/>
      <c r="J190" s="59"/>
      <c r="K190" s="59"/>
      <c r="L190" s="59"/>
    </row>
    <row r="191" spans="1:12" ht="15">
      <c r="A191" s="57"/>
      <c r="B191" s="60"/>
      <c r="C191" s="59"/>
      <c r="D191" s="59"/>
      <c r="E191" s="59"/>
      <c r="F191" s="59"/>
      <c r="G191" s="59"/>
      <c r="H191" s="59"/>
      <c r="I191" s="59"/>
      <c r="J191" s="59"/>
      <c r="K191" s="59"/>
      <c r="L191" s="59"/>
    </row>
    <row r="192" spans="1:12" ht="15">
      <c r="A192" s="57"/>
      <c r="B192" s="60"/>
      <c r="C192" s="59"/>
      <c r="D192" s="59"/>
      <c r="E192" s="59"/>
      <c r="F192" s="59"/>
      <c r="G192" s="59"/>
      <c r="H192" s="59"/>
      <c r="I192" s="59"/>
      <c r="J192" s="59"/>
      <c r="K192" s="59"/>
      <c r="L192" s="59"/>
    </row>
    <row r="193" spans="1:12" ht="15">
      <c r="A193" s="57"/>
      <c r="B193" s="60"/>
      <c r="C193" s="59"/>
      <c r="D193" s="59"/>
      <c r="E193" s="59"/>
      <c r="F193" s="59"/>
      <c r="G193" s="59"/>
      <c r="H193" s="59"/>
      <c r="I193" s="59"/>
      <c r="J193" s="59"/>
      <c r="K193" s="59"/>
      <c r="L193" s="59"/>
    </row>
    <row r="194" spans="1:12" ht="15">
      <c r="A194" s="57"/>
      <c r="B194" s="60"/>
      <c r="C194" s="59"/>
      <c r="D194" s="59"/>
      <c r="E194" s="59"/>
      <c r="F194" s="59"/>
      <c r="G194" s="59"/>
      <c r="H194" s="59"/>
      <c r="I194" s="59"/>
      <c r="J194" s="59"/>
      <c r="K194" s="59"/>
      <c r="L194" s="59"/>
    </row>
    <row r="195" spans="1:12" ht="15">
      <c r="A195" s="57"/>
      <c r="B195" s="60"/>
      <c r="C195" s="59"/>
      <c r="D195" s="59"/>
      <c r="E195" s="59"/>
      <c r="F195" s="59"/>
      <c r="G195" s="59"/>
      <c r="H195" s="59"/>
      <c r="I195" s="59"/>
      <c r="J195" s="59"/>
      <c r="K195" s="59"/>
      <c r="L195" s="59"/>
    </row>
    <row r="196" spans="1:12" ht="15">
      <c r="A196" s="57"/>
      <c r="B196" s="60"/>
      <c r="C196" s="59"/>
      <c r="D196" s="59"/>
      <c r="E196" s="59"/>
      <c r="F196" s="59"/>
      <c r="G196" s="59"/>
      <c r="H196" s="59"/>
      <c r="I196" s="59"/>
      <c r="J196" s="59"/>
      <c r="K196" s="59"/>
      <c r="L196" s="59"/>
    </row>
    <row r="197" spans="1:12" ht="15">
      <c r="A197" s="57"/>
      <c r="B197" s="60"/>
      <c r="C197" s="59"/>
      <c r="D197" s="59"/>
      <c r="E197" s="59"/>
      <c r="F197" s="59"/>
      <c r="G197" s="59"/>
      <c r="H197" s="59"/>
      <c r="I197" s="59"/>
      <c r="J197" s="59"/>
      <c r="K197" s="59"/>
      <c r="L197" s="59"/>
    </row>
    <row r="198" spans="1:12" ht="15">
      <c r="A198" s="57"/>
      <c r="B198" s="60"/>
      <c r="C198" s="59"/>
      <c r="D198" s="59"/>
      <c r="E198" s="59"/>
      <c r="F198" s="59"/>
      <c r="G198" s="59"/>
      <c r="H198" s="59"/>
      <c r="I198" s="59"/>
      <c r="J198" s="59"/>
      <c r="K198" s="59"/>
      <c r="L198" s="59"/>
    </row>
    <row r="199" spans="1:12" ht="15">
      <c r="A199" s="57"/>
      <c r="B199" s="60"/>
      <c r="C199" s="59"/>
      <c r="D199" s="59"/>
      <c r="E199" s="59"/>
      <c r="F199" s="59"/>
      <c r="G199" s="59"/>
      <c r="H199" s="59"/>
      <c r="I199" s="59"/>
      <c r="J199" s="59"/>
      <c r="K199" s="59"/>
      <c r="L199" s="59"/>
    </row>
    <row r="200" spans="1:12" ht="15">
      <c r="A200" s="57"/>
      <c r="B200" s="60"/>
      <c r="C200" s="59"/>
      <c r="D200" s="59"/>
      <c r="E200" s="59"/>
      <c r="F200" s="59"/>
      <c r="G200" s="59"/>
      <c r="H200" s="59"/>
      <c r="I200" s="59"/>
      <c r="J200" s="59"/>
      <c r="K200" s="59"/>
      <c r="L200" s="59"/>
    </row>
    <row r="201" spans="1:12" ht="15">
      <c r="A201" s="57"/>
      <c r="B201" s="60"/>
      <c r="C201" s="59"/>
      <c r="D201" s="59"/>
      <c r="E201" s="59"/>
      <c r="F201" s="59"/>
      <c r="G201" s="59"/>
      <c r="H201" s="59"/>
      <c r="I201" s="59"/>
      <c r="J201" s="59"/>
      <c r="K201" s="59"/>
      <c r="L201" s="59"/>
    </row>
    <row r="202" spans="1:12" ht="15">
      <c r="A202" s="57"/>
      <c r="B202" s="60"/>
      <c r="C202" s="59"/>
      <c r="D202" s="59"/>
      <c r="E202" s="59"/>
      <c r="F202" s="59"/>
      <c r="G202" s="59"/>
      <c r="H202" s="59"/>
      <c r="I202" s="59"/>
      <c r="J202" s="59"/>
      <c r="K202" s="59"/>
      <c r="L202" s="59"/>
    </row>
    <row r="203" spans="1:12" ht="15">
      <c r="A203" s="57"/>
      <c r="B203" s="60"/>
      <c r="C203" s="59"/>
      <c r="D203" s="59"/>
      <c r="E203" s="59"/>
      <c r="F203" s="59"/>
      <c r="G203" s="59"/>
      <c r="H203" s="59"/>
      <c r="I203" s="59"/>
      <c r="J203" s="59"/>
      <c r="K203" s="59"/>
      <c r="L203" s="59"/>
    </row>
    <row r="204" spans="1:12" ht="15">
      <c r="A204" s="57"/>
      <c r="B204" s="60"/>
      <c r="C204" s="59"/>
      <c r="D204" s="59"/>
      <c r="E204" s="59"/>
      <c r="F204" s="59"/>
      <c r="G204" s="59"/>
      <c r="H204" s="59"/>
      <c r="I204" s="59"/>
      <c r="J204" s="59"/>
      <c r="K204" s="59"/>
      <c r="L204" s="59"/>
    </row>
    <row r="205" spans="1:12" ht="15">
      <c r="A205" s="57"/>
      <c r="B205" s="60"/>
      <c r="C205" s="59"/>
      <c r="D205" s="59"/>
      <c r="E205" s="59"/>
      <c r="F205" s="59"/>
      <c r="G205" s="59"/>
      <c r="H205" s="59"/>
      <c r="I205" s="59"/>
      <c r="J205" s="59"/>
      <c r="K205" s="59"/>
      <c r="L205" s="59"/>
    </row>
    <row r="206" spans="1:12" ht="15">
      <c r="A206" s="57"/>
      <c r="B206" s="60"/>
      <c r="C206" s="59"/>
      <c r="D206" s="59"/>
      <c r="E206" s="59"/>
      <c r="F206" s="59"/>
      <c r="G206" s="59"/>
      <c r="H206" s="59"/>
      <c r="I206" s="59"/>
      <c r="J206" s="59"/>
      <c r="K206" s="59"/>
      <c r="L206" s="59"/>
    </row>
    <row r="207" spans="1:12" ht="15">
      <c r="A207" s="57"/>
      <c r="B207" s="60"/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1:12" ht="15">
      <c r="A208" s="57"/>
      <c r="B208" s="60"/>
      <c r="C208" s="59"/>
      <c r="D208" s="59"/>
      <c r="E208" s="59"/>
      <c r="F208" s="59"/>
      <c r="G208" s="59"/>
      <c r="H208" s="59"/>
      <c r="I208" s="59"/>
      <c r="J208" s="59"/>
      <c r="K208" s="59"/>
      <c r="L208" s="59"/>
    </row>
    <row r="209" spans="1:12" ht="15">
      <c r="A209" s="57"/>
      <c r="B209" s="60"/>
      <c r="C209" s="59"/>
      <c r="D209" s="59"/>
      <c r="E209" s="59"/>
      <c r="F209" s="59"/>
      <c r="G209" s="59"/>
      <c r="H209" s="59"/>
      <c r="I209" s="59"/>
      <c r="J209" s="59"/>
      <c r="K209" s="59"/>
      <c r="L209" s="59"/>
    </row>
    <row r="210" spans="1:12" ht="15">
      <c r="A210" s="57"/>
      <c r="B210" s="60"/>
      <c r="C210" s="59"/>
      <c r="D210" s="59"/>
      <c r="E210" s="59"/>
      <c r="F210" s="59"/>
      <c r="G210" s="59"/>
      <c r="H210" s="59"/>
      <c r="I210" s="59"/>
      <c r="J210" s="59"/>
      <c r="K210" s="59"/>
      <c r="L210" s="59"/>
    </row>
    <row r="211" spans="1:12" ht="15">
      <c r="A211" s="57"/>
      <c r="B211" s="60"/>
      <c r="C211" s="59"/>
      <c r="D211" s="59"/>
      <c r="E211" s="59"/>
      <c r="F211" s="59"/>
      <c r="G211" s="59"/>
      <c r="H211" s="59"/>
      <c r="I211" s="59"/>
      <c r="J211" s="59"/>
      <c r="K211" s="59"/>
      <c r="L211" s="59"/>
    </row>
    <row r="212" spans="1:12" ht="15">
      <c r="A212" s="57"/>
      <c r="B212" s="60"/>
      <c r="C212" s="59"/>
      <c r="D212" s="59"/>
      <c r="E212" s="59"/>
      <c r="F212" s="59"/>
      <c r="G212" s="59"/>
      <c r="H212" s="59"/>
      <c r="I212" s="59"/>
      <c r="J212" s="59"/>
      <c r="K212" s="59"/>
      <c r="L212" s="59"/>
    </row>
    <row r="213" spans="1:12" ht="15">
      <c r="A213" s="57"/>
      <c r="B213" s="60"/>
      <c r="C213" s="59"/>
      <c r="D213" s="59"/>
      <c r="E213" s="59"/>
      <c r="F213" s="59"/>
      <c r="G213" s="59"/>
      <c r="H213" s="59"/>
      <c r="I213" s="59"/>
      <c r="J213" s="59"/>
      <c r="K213" s="59"/>
      <c r="L213" s="59"/>
    </row>
    <row r="214" spans="1:12" ht="15">
      <c r="A214" s="57"/>
      <c r="B214" s="60"/>
      <c r="C214" s="59"/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1:12" ht="15">
      <c r="A215" s="57"/>
      <c r="B215" s="60"/>
      <c r="C215" s="59"/>
      <c r="D215" s="59"/>
      <c r="E215" s="59"/>
      <c r="F215" s="59"/>
      <c r="G215" s="59"/>
      <c r="H215" s="59"/>
      <c r="I215" s="59"/>
      <c r="J215" s="59"/>
      <c r="K215" s="59"/>
      <c r="L215" s="59"/>
    </row>
    <row r="216" spans="1:12" ht="15">
      <c r="A216" s="57"/>
      <c r="B216" s="60"/>
      <c r="C216" s="59"/>
      <c r="D216" s="59"/>
      <c r="E216" s="59"/>
      <c r="F216" s="59"/>
      <c r="G216" s="59"/>
      <c r="H216" s="59"/>
      <c r="I216" s="59"/>
      <c r="J216" s="59"/>
      <c r="K216" s="59"/>
      <c r="L216" s="59"/>
    </row>
    <row r="217" spans="1:12" ht="15">
      <c r="A217" s="57"/>
      <c r="B217" s="60"/>
      <c r="C217" s="59"/>
      <c r="D217" s="59"/>
      <c r="E217" s="59"/>
      <c r="F217" s="59"/>
      <c r="G217" s="59"/>
      <c r="H217" s="59"/>
      <c r="I217" s="59"/>
      <c r="J217" s="59"/>
      <c r="K217" s="59"/>
      <c r="L217" s="59"/>
    </row>
    <row r="218" spans="1:12" ht="15">
      <c r="A218" s="57"/>
      <c r="B218" s="60"/>
      <c r="C218" s="59"/>
      <c r="D218" s="59"/>
      <c r="E218" s="59"/>
      <c r="F218" s="59"/>
      <c r="G218" s="59"/>
      <c r="H218" s="59"/>
      <c r="I218" s="59"/>
      <c r="J218" s="59"/>
      <c r="K218" s="59"/>
      <c r="L218" s="59"/>
    </row>
    <row r="219" spans="1:12" ht="15">
      <c r="A219" s="57"/>
      <c r="B219" s="60"/>
      <c r="C219" s="59"/>
      <c r="D219" s="59"/>
      <c r="E219" s="59"/>
      <c r="F219" s="59"/>
      <c r="G219" s="59"/>
      <c r="H219" s="59"/>
      <c r="I219" s="59"/>
      <c r="J219" s="59"/>
      <c r="K219" s="59"/>
      <c r="L219" s="59"/>
    </row>
    <row r="220" spans="1:12" ht="15">
      <c r="A220" s="57"/>
      <c r="B220" s="60"/>
      <c r="C220" s="59"/>
      <c r="D220" s="59"/>
      <c r="E220" s="59"/>
      <c r="F220" s="59"/>
      <c r="G220" s="59"/>
      <c r="H220" s="59"/>
      <c r="I220" s="59"/>
      <c r="J220" s="59"/>
      <c r="K220" s="59"/>
      <c r="L220" s="59"/>
    </row>
    <row r="221" spans="1:12" ht="15">
      <c r="A221" s="57"/>
      <c r="B221" s="60"/>
      <c r="C221" s="59"/>
      <c r="D221" s="59"/>
      <c r="E221" s="59"/>
      <c r="F221" s="59"/>
      <c r="G221" s="59"/>
      <c r="H221" s="59"/>
      <c r="I221" s="59"/>
      <c r="J221" s="59"/>
      <c r="K221" s="59"/>
      <c r="L221" s="59"/>
    </row>
    <row r="222" spans="1:12" ht="15">
      <c r="A222" s="57"/>
      <c r="B222" s="60"/>
      <c r="C222" s="59"/>
      <c r="D222" s="59"/>
      <c r="E222" s="59"/>
      <c r="F222" s="59"/>
      <c r="G222" s="59"/>
      <c r="H222" s="59"/>
      <c r="I222" s="59"/>
      <c r="J222" s="59"/>
      <c r="K222" s="59"/>
      <c r="L222" s="59"/>
    </row>
    <row r="223" spans="1:12" ht="15">
      <c r="A223" s="57"/>
      <c r="B223" s="60"/>
      <c r="C223" s="59"/>
      <c r="D223" s="59"/>
      <c r="E223" s="59"/>
      <c r="F223" s="59"/>
      <c r="G223" s="59"/>
      <c r="H223" s="59"/>
      <c r="I223" s="59"/>
      <c r="J223" s="59"/>
      <c r="K223" s="59"/>
      <c r="L223" s="59"/>
    </row>
    <row r="224" spans="1:12" ht="15">
      <c r="A224" s="57"/>
      <c r="B224" s="60"/>
      <c r="C224" s="59"/>
      <c r="D224" s="59"/>
      <c r="E224" s="59"/>
      <c r="F224" s="59"/>
      <c r="G224" s="59"/>
      <c r="H224" s="59"/>
      <c r="I224" s="59"/>
      <c r="J224" s="59"/>
      <c r="K224" s="59"/>
      <c r="L224" s="59"/>
    </row>
    <row r="225" spans="1:12" ht="15">
      <c r="A225" s="57"/>
      <c r="B225" s="60"/>
      <c r="C225" s="59"/>
      <c r="D225" s="59"/>
      <c r="E225" s="59"/>
      <c r="F225" s="59"/>
      <c r="G225" s="59"/>
      <c r="H225" s="59"/>
      <c r="I225" s="59"/>
      <c r="J225" s="59"/>
      <c r="K225" s="59"/>
      <c r="L225" s="59"/>
    </row>
    <row r="226" spans="1:12" ht="15">
      <c r="A226" s="57"/>
      <c r="B226" s="60"/>
      <c r="C226" s="59"/>
      <c r="D226" s="59"/>
      <c r="E226" s="59"/>
      <c r="F226" s="59"/>
      <c r="G226" s="59"/>
      <c r="H226" s="59"/>
      <c r="I226" s="59"/>
      <c r="J226" s="59"/>
      <c r="K226" s="59"/>
      <c r="L226" s="59"/>
    </row>
    <row r="227" spans="1:12" ht="15">
      <c r="A227" s="57"/>
      <c r="B227" s="60"/>
      <c r="C227" s="59"/>
      <c r="D227" s="59"/>
      <c r="E227" s="59"/>
      <c r="F227" s="59"/>
      <c r="G227" s="59"/>
      <c r="H227" s="59"/>
      <c r="I227" s="59"/>
      <c r="J227" s="59"/>
      <c r="K227" s="59"/>
      <c r="L227" s="59"/>
    </row>
    <row r="228" spans="1:12" ht="15">
      <c r="A228" s="57"/>
      <c r="B228" s="60"/>
      <c r="C228" s="59"/>
      <c r="D228" s="59"/>
      <c r="E228" s="59"/>
      <c r="F228" s="59"/>
      <c r="G228" s="59"/>
      <c r="H228" s="59"/>
      <c r="I228" s="59"/>
      <c r="J228" s="59"/>
      <c r="K228" s="59"/>
      <c r="L228" s="59"/>
    </row>
    <row r="229" spans="1:12" ht="15">
      <c r="A229" s="57"/>
      <c r="B229" s="60"/>
      <c r="C229" s="59"/>
      <c r="D229" s="59"/>
      <c r="E229" s="59"/>
      <c r="F229" s="59"/>
      <c r="G229" s="59"/>
      <c r="H229" s="59"/>
      <c r="I229" s="59"/>
      <c r="J229" s="59"/>
      <c r="K229" s="59"/>
      <c r="L229" s="59"/>
    </row>
    <row r="230" spans="1:12" ht="15">
      <c r="A230" s="57"/>
      <c r="B230" s="60"/>
      <c r="C230" s="59"/>
      <c r="D230" s="59"/>
      <c r="E230" s="59"/>
      <c r="F230" s="59"/>
      <c r="G230" s="59"/>
      <c r="H230" s="59"/>
      <c r="I230" s="59"/>
      <c r="J230" s="59"/>
      <c r="K230" s="59"/>
      <c r="L230" s="59"/>
    </row>
    <row r="231" spans="1:12" ht="15">
      <c r="A231" s="57"/>
      <c r="B231" s="60"/>
      <c r="C231" s="59"/>
      <c r="D231" s="59"/>
      <c r="E231" s="59"/>
      <c r="F231" s="59"/>
      <c r="G231" s="59"/>
      <c r="H231" s="59"/>
      <c r="I231" s="59"/>
      <c r="J231" s="59"/>
      <c r="K231" s="59"/>
      <c r="L231" s="59"/>
    </row>
    <row r="232" spans="1:12" ht="15">
      <c r="A232" s="57"/>
      <c r="B232" s="60"/>
      <c r="C232" s="59"/>
      <c r="D232" s="59"/>
      <c r="E232" s="59"/>
      <c r="F232" s="59"/>
      <c r="G232" s="59"/>
      <c r="H232" s="59"/>
      <c r="I232" s="59"/>
      <c r="J232" s="59"/>
      <c r="K232" s="59"/>
      <c r="L232" s="59"/>
    </row>
    <row r="233" spans="1:12" ht="15">
      <c r="A233" s="57"/>
      <c r="B233" s="60"/>
      <c r="C233" s="59"/>
      <c r="D233" s="59"/>
      <c r="E233" s="59"/>
      <c r="F233" s="59"/>
      <c r="G233" s="59"/>
      <c r="H233" s="59"/>
      <c r="I233" s="59"/>
      <c r="J233" s="59"/>
      <c r="K233" s="59"/>
      <c r="L233" s="59"/>
    </row>
    <row r="234" spans="1:12" ht="15">
      <c r="A234" s="57"/>
      <c r="B234" s="60"/>
      <c r="C234" s="59"/>
      <c r="D234" s="59"/>
      <c r="E234" s="59"/>
      <c r="F234" s="59"/>
      <c r="G234" s="59"/>
      <c r="H234" s="59"/>
      <c r="I234" s="59"/>
      <c r="J234" s="59"/>
      <c r="K234" s="59"/>
      <c r="L234" s="59"/>
    </row>
    <row r="235" spans="1:12" ht="15">
      <c r="A235" s="57"/>
      <c r="B235" s="60"/>
      <c r="C235" s="59"/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1:12" ht="15">
      <c r="A236" s="57"/>
      <c r="B236" s="60"/>
      <c r="C236" s="59"/>
      <c r="D236" s="59"/>
      <c r="E236" s="59"/>
      <c r="F236" s="59"/>
      <c r="G236" s="59"/>
      <c r="H236" s="59"/>
      <c r="I236" s="59"/>
      <c r="J236" s="59"/>
      <c r="K236" s="59"/>
      <c r="L236" s="59"/>
    </row>
    <row r="237" spans="1:12" ht="15">
      <c r="A237" s="57"/>
      <c r="B237" s="60"/>
      <c r="C237" s="59"/>
      <c r="D237" s="59"/>
      <c r="E237" s="59"/>
      <c r="F237" s="59"/>
      <c r="G237" s="59"/>
      <c r="H237" s="59"/>
      <c r="I237" s="59"/>
      <c r="J237" s="59"/>
      <c r="K237" s="59"/>
      <c r="L237" s="59"/>
    </row>
    <row r="238" spans="1:12" ht="15">
      <c r="A238" s="57"/>
      <c r="B238" s="60"/>
      <c r="C238" s="59"/>
      <c r="D238" s="59"/>
      <c r="E238" s="59"/>
      <c r="F238" s="59"/>
      <c r="G238" s="59"/>
      <c r="H238" s="59"/>
      <c r="I238" s="59"/>
      <c r="J238" s="59"/>
      <c r="K238" s="59"/>
      <c r="L238" s="59"/>
    </row>
    <row r="239" spans="1:12" ht="15">
      <c r="A239" s="57"/>
      <c r="B239" s="60"/>
      <c r="C239" s="59"/>
      <c r="D239" s="59"/>
      <c r="E239" s="59"/>
      <c r="F239" s="59"/>
      <c r="G239" s="59"/>
      <c r="H239" s="59"/>
      <c r="I239" s="59"/>
      <c r="J239" s="59"/>
      <c r="K239" s="59"/>
      <c r="L239" s="59"/>
    </row>
    <row r="240" spans="1:12" ht="15">
      <c r="A240" s="57"/>
      <c r="B240" s="60"/>
      <c r="C240" s="59"/>
      <c r="D240" s="59"/>
      <c r="E240" s="59"/>
      <c r="F240" s="59"/>
      <c r="G240" s="59"/>
      <c r="H240" s="59"/>
      <c r="I240" s="59"/>
      <c r="J240" s="59"/>
      <c r="K240" s="59"/>
      <c r="L240" s="59"/>
    </row>
    <row r="241" spans="1:12" ht="15">
      <c r="A241" s="57"/>
      <c r="B241" s="60"/>
      <c r="C241" s="59"/>
      <c r="D241" s="59"/>
      <c r="E241" s="59"/>
      <c r="F241" s="59"/>
      <c r="G241" s="59"/>
      <c r="H241" s="59"/>
      <c r="I241" s="59"/>
      <c r="J241" s="59"/>
      <c r="K241" s="59"/>
      <c r="L241" s="59"/>
    </row>
    <row r="242" spans="1:12" ht="15">
      <c r="A242" s="57"/>
      <c r="B242" s="60"/>
      <c r="C242" s="59"/>
      <c r="D242" s="59"/>
      <c r="E242" s="59"/>
      <c r="F242" s="59"/>
      <c r="G242" s="59"/>
      <c r="H242" s="59"/>
      <c r="I242" s="59"/>
      <c r="J242" s="59"/>
      <c r="K242" s="59"/>
      <c r="L242" s="59"/>
    </row>
    <row r="243" spans="1:12" ht="15">
      <c r="A243" s="57"/>
      <c r="B243" s="60"/>
      <c r="C243" s="59"/>
      <c r="D243" s="59"/>
      <c r="E243" s="59"/>
      <c r="F243" s="59"/>
      <c r="G243" s="59"/>
      <c r="H243" s="59"/>
      <c r="I243" s="59"/>
      <c r="J243" s="59"/>
      <c r="K243" s="59"/>
      <c r="L243" s="59"/>
    </row>
    <row r="244" spans="1:12" ht="15">
      <c r="A244" s="57"/>
      <c r="B244" s="60"/>
      <c r="C244" s="59"/>
      <c r="D244" s="59"/>
      <c r="E244" s="59"/>
      <c r="F244" s="59"/>
      <c r="G244" s="59"/>
      <c r="H244" s="59"/>
      <c r="I244" s="59"/>
      <c r="J244" s="59"/>
      <c r="K244" s="59"/>
      <c r="L244" s="59"/>
    </row>
    <row r="245" spans="1:12" ht="15">
      <c r="A245" s="57"/>
      <c r="B245" s="60"/>
      <c r="C245" s="59"/>
      <c r="D245" s="59"/>
      <c r="E245" s="59"/>
      <c r="F245" s="59"/>
      <c r="G245" s="59"/>
      <c r="H245" s="59"/>
      <c r="I245" s="59"/>
      <c r="J245" s="59"/>
      <c r="K245" s="59"/>
      <c r="L245" s="59"/>
    </row>
    <row r="246" spans="1:12" ht="15">
      <c r="A246" s="57"/>
      <c r="B246" s="60"/>
      <c r="C246" s="59"/>
      <c r="D246" s="59"/>
      <c r="E246" s="59"/>
      <c r="F246" s="59"/>
      <c r="G246" s="59"/>
      <c r="H246" s="59"/>
      <c r="I246" s="59"/>
      <c r="J246" s="59"/>
      <c r="K246" s="59"/>
      <c r="L246" s="59"/>
    </row>
    <row r="247" spans="1:12" ht="15">
      <c r="A247" s="57"/>
      <c r="B247" s="60"/>
      <c r="C247" s="59"/>
      <c r="D247" s="59"/>
      <c r="E247" s="59"/>
      <c r="F247" s="59"/>
      <c r="G247" s="59"/>
      <c r="H247" s="59"/>
      <c r="I247" s="59"/>
      <c r="J247" s="59"/>
      <c r="K247" s="59"/>
      <c r="L247" s="59"/>
    </row>
    <row r="248" spans="1:12" ht="15">
      <c r="A248" s="57"/>
      <c r="B248" s="60"/>
      <c r="C248" s="59"/>
      <c r="D248" s="59"/>
      <c r="E248" s="59"/>
      <c r="F248" s="59"/>
      <c r="G248" s="59"/>
      <c r="H248" s="59"/>
      <c r="I248" s="59"/>
      <c r="J248" s="59"/>
      <c r="K248" s="59"/>
      <c r="L248" s="59"/>
    </row>
    <row r="249" spans="1:12" ht="15">
      <c r="A249" s="57"/>
      <c r="B249" s="60"/>
      <c r="C249" s="59"/>
      <c r="D249" s="59"/>
      <c r="E249" s="59"/>
      <c r="F249" s="59"/>
      <c r="G249" s="59"/>
      <c r="H249" s="59"/>
      <c r="I249" s="59"/>
      <c r="J249" s="59"/>
      <c r="K249" s="59"/>
      <c r="L249" s="59"/>
    </row>
    <row r="250" spans="1:12" ht="15">
      <c r="A250" s="57"/>
      <c r="B250" s="60"/>
      <c r="C250" s="59"/>
      <c r="D250" s="59"/>
      <c r="E250" s="59"/>
      <c r="F250" s="59"/>
      <c r="G250" s="59"/>
      <c r="H250" s="59"/>
      <c r="I250" s="59"/>
      <c r="J250" s="59"/>
      <c r="K250" s="59"/>
      <c r="L250" s="59"/>
    </row>
    <row r="251" spans="1:12" ht="15">
      <c r="A251" s="57"/>
      <c r="B251" s="60"/>
      <c r="C251" s="59"/>
      <c r="D251" s="59"/>
      <c r="E251" s="59"/>
      <c r="F251" s="59"/>
      <c r="G251" s="59"/>
      <c r="H251" s="59"/>
      <c r="I251" s="59"/>
      <c r="J251" s="59"/>
      <c r="K251" s="59"/>
      <c r="L251" s="59"/>
    </row>
    <row r="252" spans="1:12" ht="15">
      <c r="A252" s="57"/>
      <c r="B252" s="60"/>
      <c r="C252" s="59"/>
      <c r="D252" s="59"/>
      <c r="E252" s="59"/>
      <c r="F252" s="59"/>
      <c r="G252" s="59"/>
      <c r="H252" s="59"/>
      <c r="I252" s="59"/>
      <c r="J252" s="59"/>
      <c r="K252" s="59"/>
      <c r="L252" s="59"/>
    </row>
    <row r="253" spans="1:12" ht="15">
      <c r="A253" s="57"/>
      <c r="B253" s="60"/>
      <c r="C253" s="59"/>
      <c r="D253" s="59"/>
      <c r="E253" s="59"/>
      <c r="F253" s="59"/>
      <c r="G253" s="59"/>
      <c r="H253" s="59"/>
      <c r="I253" s="59"/>
      <c r="J253" s="59"/>
      <c r="K253" s="59"/>
      <c r="L253" s="59"/>
    </row>
    <row r="254" spans="1:12" ht="15">
      <c r="A254" s="57"/>
      <c r="B254" s="60"/>
      <c r="C254" s="59"/>
      <c r="D254" s="59"/>
      <c r="E254" s="59"/>
      <c r="F254" s="59"/>
      <c r="G254" s="59"/>
      <c r="H254" s="59"/>
      <c r="I254" s="59"/>
      <c r="J254" s="59"/>
      <c r="K254" s="59"/>
      <c r="L254" s="59"/>
    </row>
    <row r="255" spans="1:12" ht="15">
      <c r="A255" s="57"/>
      <c r="B255" s="60"/>
      <c r="C255" s="59"/>
      <c r="D255" s="59"/>
      <c r="E255" s="59"/>
      <c r="F255" s="59"/>
      <c r="G255" s="59"/>
      <c r="H255" s="59"/>
      <c r="I255" s="59"/>
      <c r="J255" s="59"/>
      <c r="K255" s="59"/>
      <c r="L255" s="59"/>
    </row>
    <row r="256" spans="1:12" ht="15">
      <c r="A256" s="57"/>
      <c r="B256" s="60"/>
      <c r="C256" s="59"/>
      <c r="D256" s="59"/>
      <c r="E256" s="59"/>
      <c r="F256" s="59"/>
      <c r="G256" s="59"/>
      <c r="H256" s="59"/>
      <c r="I256" s="59"/>
      <c r="J256" s="59"/>
      <c r="K256" s="59"/>
      <c r="L256" s="59"/>
    </row>
  </sheetData>
  <sheetProtection/>
  <mergeCells count="24">
    <mergeCell ref="J3:L3"/>
    <mergeCell ref="M3:O3"/>
    <mergeCell ref="J4:J6"/>
    <mergeCell ref="K4:K6"/>
    <mergeCell ref="L4:L6"/>
    <mergeCell ref="M4:M6"/>
    <mergeCell ref="N4:N6"/>
    <mergeCell ref="O4:O6"/>
    <mergeCell ref="D3:F3"/>
    <mergeCell ref="G3:I3"/>
    <mergeCell ref="D4:D6"/>
    <mergeCell ref="E4:E6"/>
    <mergeCell ref="F4:F6"/>
    <mergeCell ref="G4:G6"/>
    <mergeCell ref="H4:H6"/>
    <mergeCell ref="I4:I6"/>
    <mergeCell ref="A1:B1"/>
    <mergeCell ref="A3:A6"/>
    <mergeCell ref="B3:B6"/>
    <mergeCell ref="C3:C6"/>
    <mergeCell ref="P4:P6"/>
    <mergeCell ref="Q4:Q6"/>
    <mergeCell ref="P3:R3"/>
    <mergeCell ref="R4:R6"/>
  </mergeCells>
  <printOptions horizontalCentered="1"/>
  <pageMargins left="0.25" right="0.25" top="0.3" bottom="0.34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2012-09-20T09:00:14Z</dcterms:created>
  <dcterms:modified xsi:type="dcterms:W3CDTF">2012-09-21T10:33:38Z</dcterms:modified>
  <cp:category/>
  <cp:version/>
  <cp:contentType/>
  <cp:contentStatus/>
</cp:coreProperties>
</file>